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10" yWindow="-110" windowWidth="19420" windowHeight="11020" tabRatio="811" activeTab="2"/>
  </bookViews>
  <sheets>
    <sheet name="Phụ biểu 01" sheetId="35" r:id="rId1"/>
    <sheet name="Phụ phiểu 02" sheetId="34" r:id="rId2"/>
    <sheet name="Đầu tư PT 03 chuẩn" sheetId="41" r:id="rId3"/>
    <sheet name="Sự nghiệp GD 04" sheetId="26" r:id="rId4"/>
    <sheet name="Phụ biểu cân đối 15" sheetId="27" r:id="rId5"/>
    <sheet name="Phụ biểu 16" sheetId="37" r:id="rId6"/>
    <sheet name="Phụ biểu 17" sheetId="40" r:id="rId7"/>
    <sheet name="Phụ biểu 34" sheetId="29" r:id="rId8"/>
    <sheet name="phụ biểu 35" sheetId="30" r:id="rId9"/>
    <sheet name="Phụ biểu 36" sheetId="31" r:id="rId10"/>
    <sheet name="phụ biểu số 37" sheetId="32" r:id="rId11"/>
    <sheet name="Sheet1" sheetId="43" r:id="rId12"/>
  </sheets>
  <externalReferences>
    <externalReference r:id="rId13"/>
  </externalReferences>
  <definedNames>
    <definedName name="_xlnm.Print_Area" localSheetId="2">'Đầu tư PT 03 chuẩn'!$A$1:$I$30</definedName>
    <definedName name="_xlnm.Print_Area" localSheetId="0">'Phụ biểu 01'!$A$1:$K$37</definedName>
    <definedName name="_xlnm.Print_Area" localSheetId="1">'Phụ phiểu 02'!$A$1:$H$178</definedName>
    <definedName name="_xlnm.Print_Titles" localSheetId="10">'phụ biểu số 37'!$5:$8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4" l="1"/>
  <c r="M11" i="32" l="1"/>
  <c r="M10" i="32"/>
  <c r="C9" i="31"/>
  <c r="I9" i="31"/>
  <c r="E10" i="30"/>
  <c r="E9" i="30"/>
  <c r="H27" i="41"/>
  <c r="H14" i="41"/>
  <c r="H28" i="41"/>
  <c r="H8" i="41"/>
  <c r="G22" i="41"/>
  <c r="F22" i="41"/>
  <c r="E22" i="41"/>
  <c r="H20" i="41"/>
  <c r="G20" i="41"/>
  <c r="F20" i="41"/>
  <c r="E20" i="41"/>
  <c r="H17" i="41"/>
  <c r="G17" i="41"/>
  <c r="G7" i="41" s="1"/>
  <c r="F17" i="41"/>
  <c r="E17" i="41"/>
  <c r="K16" i="41"/>
  <c r="H15" i="41"/>
  <c r="G15" i="41"/>
  <c r="F15" i="41"/>
  <c r="E15" i="41"/>
  <c r="R12" i="41"/>
  <c r="K12" i="41"/>
  <c r="L12" i="41" s="1"/>
  <c r="R11" i="41"/>
  <c r="K11" i="41"/>
  <c r="L11" i="41" s="1"/>
  <c r="R10" i="41"/>
  <c r="K10" i="41"/>
  <c r="L10" i="41" s="1"/>
  <c r="R9" i="41"/>
  <c r="K9" i="41"/>
  <c r="L9" i="41" s="1"/>
  <c r="G8" i="41"/>
  <c r="F8" i="41"/>
  <c r="E8" i="41"/>
  <c r="E7" i="41" l="1"/>
  <c r="F7" i="41"/>
  <c r="H22" i="41"/>
  <c r="H7" i="41" s="1"/>
  <c r="U7" i="41" s="1"/>
  <c r="D144" i="34" l="1"/>
  <c r="D94" i="34"/>
  <c r="H9" i="35"/>
  <c r="H20" i="35"/>
  <c r="H22" i="35"/>
  <c r="H21" i="35"/>
  <c r="I34" i="35"/>
  <c r="E23" i="35"/>
  <c r="D17" i="35"/>
  <c r="H17" i="35"/>
  <c r="D14" i="35"/>
  <c r="G14" i="35"/>
  <c r="H14" i="35"/>
  <c r="D9" i="35"/>
  <c r="D22" i="35"/>
  <c r="D21" i="35"/>
  <c r="D24" i="35"/>
  <c r="E11" i="35"/>
  <c r="E29" i="35"/>
  <c r="E33" i="35"/>
  <c r="E34" i="35"/>
  <c r="E35" i="35"/>
  <c r="F27" i="34"/>
  <c r="F63" i="34"/>
  <c r="F64" i="34"/>
  <c r="F57" i="34"/>
  <c r="F51" i="34"/>
  <c r="F47" i="34"/>
  <c r="F43" i="34"/>
  <c r="F39" i="34"/>
  <c r="F35" i="34"/>
  <c r="F31" i="34"/>
  <c r="D20" i="35" l="1"/>
  <c r="D16" i="35" s="1"/>
  <c r="D13" i="35" s="1"/>
  <c r="D8" i="35" s="1"/>
  <c r="D7" i="35" s="1"/>
  <c r="F26" i="34"/>
  <c r="D58" i="34"/>
  <c r="F60" i="34"/>
  <c r="F59" i="34"/>
  <c r="D166" i="34"/>
  <c r="F162" i="34"/>
  <c r="F136" i="34"/>
  <c r="F125" i="34"/>
  <c r="D133" i="34"/>
  <c r="F91" i="34"/>
  <c r="D14" i="34"/>
  <c r="F20" i="34"/>
  <c r="F14" i="34" s="1"/>
  <c r="F13" i="34" s="1"/>
  <c r="D33" i="34"/>
  <c r="D31" i="34" s="1"/>
  <c r="D53" i="34"/>
  <c r="D49" i="34"/>
  <c r="D45" i="34"/>
  <c r="D41" i="34"/>
  <c r="D37" i="34"/>
  <c r="D29" i="34"/>
  <c r="D27" i="34" s="1"/>
  <c r="F171" i="34"/>
  <c r="F170" i="34"/>
  <c r="F172" i="34"/>
  <c r="F173" i="34"/>
  <c r="F174" i="34"/>
  <c r="F175" i="34"/>
  <c r="F176" i="34"/>
  <c r="F177" i="34"/>
  <c r="F123" i="34"/>
  <c r="F121" i="34" s="1"/>
  <c r="G10" i="34"/>
  <c r="G11" i="34"/>
  <c r="G15" i="34"/>
  <c r="G17" i="34"/>
  <c r="G18" i="34"/>
  <c r="G19" i="34"/>
  <c r="D25" i="34"/>
  <c r="F25" i="34" s="1"/>
  <c r="F21" i="34" s="1"/>
  <c r="F58" i="34" l="1"/>
  <c r="F169" i="34"/>
  <c r="F161" i="34" s="1"/>
  <c r="F120" i="34"/>
  <c r="F111" i="34"/>
  <c r="F112" i="34"/>
  <c r="F113" i="34"/>
  <c r="F114" i="34"/>
  <c r="F115" i="34"/>
  <c r="F116" i="34"/>
  <c r="F117" i="34"/>
  <c r="F118" i="34"/>
  <c r="F119" i="34"/>
  <c r="F110" i="34"/>
  <c r="D107" i="34"/>
  <c r="J17" i="26"/>
  <c r="J16" i="26"/>
  <c r="J10" i="26"/>
  <c r="J9" i="26"/>
  <c r="F9" i="26"/>
  <c r="F10" i="26"/>
  <c r="F17" i="26"/>
  <c r="F16" i="26"/>
  <c r="L20" i="26"/>
  <c r="L15" i="26"/>
  <c r="L8" i="26"/>
  <c r="F107" i="34" l="1"/>
  <c r="F106" i="34" s="1"/>
  <c r="F90" i="34" s="1"/>
  <c r="E32" i="40"/>
  <c r="E31" i="40"/>
  <c r="E30" i="40"/>
  <c r="E29" i="40"/>
  <c r="E28" i="40"/>
  <c r="F27" i="40"/>
  <c r="F26" i="40"/>
  <c r="E26" i="40"/>
  <c r="F25" i="40"/>
  <c r="E25" i="40"/>
  <c r="E24" i="40"/>
  <c r="E23" i="40"/>
  <c r="E22" i="40"/>
  <c r="E21" i="40"/>
  <c r="F20" i="40"/>
  <c r="E20" i="40"/>
  <c r="F19" i="40"/>
  <c r="E19" i="40"/>
  <c r="E18" i="40"/>
  <c r="E17" i="40"/>
  <c r="F16" i="40"/>
  <c r="E16" i="40"/>
  <c r="E15" i="40"/>
  <c r="E14" i="40"/>
  <c r="E13" i="40"/>
  <c r="E12" i="40"/>
  <c r="D11" i="40"/>
  <c r="D10" i="40" s="1"/>
  <c r="C11" i="40"/>
  <c r="C10" i="40" s="1"/>
  <c r="C9" i="40" s="1"/>
  <c r="C8" i="40" s="1"/>
  <c r="D9" i="32"/>
  <c r="E9" i="32"/>
  <c r="F9" i="32"/>
  <c r="G9" i="32"/>
  <c r="H9" i="32"/>
  <c r="I9" i="32"/>
  <c r="K9" i="32"/>
  <c r="L9" i="32"/>
  <c r="M9" i="32"/>
  <c r="N9" i="32"/>
  <c r="O9" i="32"/>
  <c r="C26" i="32"/>
  <c r="J28" i="32"/>
  <c r="C28" i="32" s="1"/>
  <c r="C10" i="32"/>
  <c r="C11" i="32"/>
  <c r="C12" i="32"/>
  <c r="C13" i="32"/>
  <c r="C14" i="32"/>
  <c r="C15" i="32"/>
  <c r="C16" i="32"/>
  <c r="C17" i="32"/>
  <c r="C18" i="32"/>
  <c r="C19" i="32"/>
  <c r="C20" i="32"/>
  <c r="C21" i="32"/>
  <c r="C22" i="32"/>
  <c r="C23" i="32"/>
  <c r="C24" i="32"/>
  <c r="C25" i="32"/>
  <c r="C27" i="32"/>
  <c r="C29" i="32"/>
  <c r="C10" i="31"/>
  <c r="C11" i="31"/>
  <c r="C12" i="31"/>
  <c r="C13" i="31"/>
  <c r="C14" i="31"/>
  <c r="C15" i="31"/>
  <c r="C16" i="31"/>
  <c r="C17" i="31"/>
  <c r="C18" i="31"/>
  <c r="C19" i="31"/>
  <c r="C20" i="31"/>
  <c r="C21" i="31"/>
  <c r="K9" i="31"/>
  <c r="J9" i="31"/>
  <c r="D9" i="31"/>
  <c r="E12" i="30"/>
  <c r="E8" i="30" s="1"/>
  <c r="C21" i="30"/>
  <c r="C20" i="30"/>
  <c r="C11" i="29"/>
  <c r="J29" i="35"/>
  <c r="J28" i="35"/>
  <c r="J27" i="35"/>
  <c r="J26" i="35"/>
  <c r="J25" i="35"/>
  <c r="J22" i="35"/>
  <c r="J21" i="35"/>
  <c r="J15" i="35"/>
  <c r="J11" i="35"/>
  <c r="I27" i="35" l="1"/>
  <c r="I28" i="35"/>
  <c r="I29" i="35"/>
  <c r="J14" i="35"/>
  <c r="I15" i="35"/>
  <c r="J20" i="35"/>
  <c r="I21" i="35"/>
  <c r="I22" i="35"/>
  <c r="J24" i="35"/>
  <c r="I26" i="35"/>
  <c r="J9" i="32"/>
  <c r="C9" i="32" s="1"/>
  <c r="F10" i="40"/>
  <c r="E10" i="40"/>
  <c r="D9" i="40"/>
  <c r="F11" i="40"/>
  <c r="E11" i="40"/>
  <c r="I20" i="35" l="1"/>
  <c r="I14" i="35"/>
  <c r="I24" i="35"/>
  <c r="D8" i="40"/>
  <c r="F9" i="40"/>
  <c r="E9" i="40"/>
  <c r="E8" i="40" l="1"/>
  <c r="F8" i="40"/>
  <c r="H35" i="37" l="1"/>
  <c r="G11" i="37"/>
  <c r="G12" i="37"/>
  <c r="G13" i="37"/>
  <c r="G16" i="37"/>
  <c r="G19" i="37"/>
  <c r="G20" i="37"/>
  <c r="G22" i="37"/>
  <c r="G24" i="37"/>
  <c r="G26" i="37"/>
  <c r="G27" i="37"/>
  <c r="G28" i="37"/>
  <c r="G29" i="37"/>
  <c r="G31" i="37"/>
  <c r="G32" i="37"/>
  <c r="G33" i="37"/>
  <c r="D34" i="37"/>
  <c r="C36" i="37"/>
  <c r="G36" i="37" s="1"/>
  <c r="C35" i="37"/>
  <c r="C34" i="37" s="1"/>
  <c r="G34" i="37" s="1"/>
  <c r="D32" i="37"/>
  <c r="D31" i="37" s="1"/>
  <c r="C15" i="37"/>
  <c r="G15" i="37" s="1"/>
  <c r="D15" i="37"/>
  <c r="D21" i="37"/>
  <c r="D25" i="37"/>
  <c r="C21" i="37"/>
  <c r="C10" i="37"/>
  <c r="G10" i="37" s="1"/>
  <c r="C25" i="37"/>
  <c r="D18" i="37"/>
  <c r="C18" i="37"/>
  <c r="G18" i="37" s="1"/>
  <c r="D12" i="37"/>
  <c r="D13" i="37"/>
  <c r="D10" i="37" l="1"/>
  <c r="G35" i="37"/>
  <c r="C17" i="37"/>
  <c r="C14" i="37" s="1"/>
  <c r="C9" i="37" s="1"/>
  <c r="C8" i="37" s="1"/>
  <c r="D17" i="37"/>
  <c r="D14" i="37" s="1"/>
  <c r="D9" i="37" s="1"/>
  <c r="D8" i="37" s="1"/>
  <c r="F12" i="37" l="1"/>
  <c r="H12" i="37" s="1"/>
  <c r="F16" i="37"/>
  <c r="H16" i="37" s="1"/>
  <c r="F22" i="37"/>
  <c r="F23" i="37"/>
  <c r="F26" i="37"/>
  <c r="F27" i="37"/>
  <c r="F28" i="37"/>
  <c r="H28" i="37" s="1"/>
  <c r="F29" i="37"/>
  <c r="F30" i="37"/>
  <c r="E25" i="37"/>
  <c r="G25" i="37" s="1"/>
  <c r="E21" i="37"/>
  <c r="G21" i="37" s="1"/>
  <c r="G10" i="27"/>
  <c r="G11" i="27"/>
  <c r="G14" i="27"/>
  <c r="G21" i="27"/>
  <c r="G22" i="27"/>
  <c r="G26" i="27"/>
  <c r="G27" i="27"/>
  <c r="F10" i="27"/>
  <c r="F11" i="27"/>
  <c r="F14" i="27"/>
  <c r="F15" i="27"/>
  <c r="F18" i="27"/>
  <c r="F19" i="27"/>
  <c r="F21" i="27"/>
  <c r="F22" i="27"/>
  <c r="F23" i="27"/>
  <c r="F24" i="27"/>
  <c r="F25" i="27"/>
  <c r="F26" i="27"/>
  <c r="F28" i="27"/>
  <c r="F29" i="27"/>
  <c r="F30" i="27"/>
  <c r="F31" i="27"/>
  <c r="F32" i="27"/>
  <c r="E20" i="27"/>
  <c r="D26" i="27"/>
  <c r="D20" i="27" s="1"/>
  <c r="G20" i="27" s="1"/>
  <c r="D25" i="27"/>
  <c r="G25" i="27" s="1"/>
  <c r="C20" i="27"/>
  <c r="E12" i="27"/>
  <c r="E9" i="27"/>
  <c r="F9" i="27" s="1"/>
  <c r="D17" i="27"/>
  <c r="G17" i="27" s="1"/>
  <c r="D16" i="27"/>
  <c r="F16" i="27" s="1"/>
  <c r="D13" i="27"/>
  <c r="D12" i="27" s="1"/>
  <c r="D9" i="27"/>
  <c r="C9" i="27"/>
  <c r="C12" i="27"/>
  <c r="F13" i="27" l="1"/>
  <c r="F20" i="27"/>
  <c r="C8" i="27"/>
  <c r="F25" i="37"/>
  <c r="H25" i="37" s="1"/>
  <c r="G12" i="27"/>
  <c r="D8" i="27"/>
  <c r="E17" i="37"/>
  <c r="F12" i="27"/>
  <c r="G13" i="27"/>
  <c r="F21" i="37"/>
  <c r="H21" i="37" s="1"/>
  <c r="H22" i="37"/>
  <c r="G9" i="27"/>
  <c r="F15" i="37"/>
  <c r="H15" i="37" s="1"/>
  <c r="E8" i="27"/>
  <c r="M20" i="26"/>
  <c r="G20" i="26"/>
  <c r="N18" i="26"/>
  <c r="J18" i="26"/>
  <c r="J19" i="26"/>
  <c r="E19" i="26"/>
  <c r="N19" i="26" s="1"/>
  <c r="G8" i="27" l="1"/>
  <c r="F8" i="27"/>
  <c r="G17" i="37"/>
  <c r="E14" i="37"/>
  <c r="K15" i="26"/>
  <c r="I15" i="26"/>
  <c r="H15" i="26"/>
  <c r="F15" i="26"/>
  <c r="E17" i="26"/>
  <c r="N17" i="26" s="1"/>
  <c r="J15" i="26"/>
  <c r="F11" i="26"/>
  <c r="H11" i="26"/>
  <c r="I11" i="26"/>
  <c r="K11" i="26"/>
  <c r="J14" i="26"/>
  <c r="E14" i="26"/>
  <c r="N14" i="26" s="1"/>
  <c r="J13" i="26"/>
  <c r="E12" i="26"/>
  <c r="J12" i="26"/>
  <c r="K8" i="26"/>
  <c r="I8" i="26"/>
  <c r="I20" i="26" s="1"/>
  <c r="H8" i="26"/>
  <c r="F8" i="26"/>
  <c r="E10" i="26"/>
  <c r="E13" i="26"/>
  <c r="E16" i="26"/>
  <c r="E9" i="26"/>
  <c r="N9" i="26" s="1"/>
  <c r="D8" i="26"/>
  <c r="C8" i="26" s="1"/>
  <c r="C11" i="26"/>
  <c r="D11" i="26"/>
  <c r="D15" i="26"/>
  <c r="C15" i="26"/>
  <c r="G14" i="37" l="1"/>
  <c r="E9" i="37"/>
  <c r="F20" i="26"/>
  <c r="E8" i="26"/>
  <c r="J11" i="26"/>
  <c r="J8" i="26"/>
  <c r="J20" i="26" s="1"/>
  <c r="K20" i="26"/>
  <c r="H20" i="26"/>
  <c r="C20" i="26"/>
  <c r="N16" i="26"/>
  <c r="N15" i="26" s="1"/>
  <c r="N10" i="26"/>
  <c r="N12" i="26"/>
  <c r="D20" i="26"/>
  <c r="E11" i="26"/>
  <c r="N13" i="26"/>
  <c r="E15" i="26"/>
  <c r="G9" i="37" l="1"/>
  <c r="E8" i="37"/>
  <c r="G8" i="37" s="1"/>
  <c r="E20" i="26"/>
  <c r="N8" i="26"/>
  <c r="N11" i="26"/>
  <c r="N20" i="26" l="1"/>
  <c r="D151" i="34" l="1"/>
  <c r="E160" i="34"/>
  <c r="C160" i="34" s="1"/>
  <c r="F160" i="34" s="1"/>
  <c r="G160" i="34" s="1"/>
  <c r="D123" i="34"/>
  <c r="E10" i="34"/>
  <c r="E11" i="34"/>
  <c r="D9" i="34"/>
  <c r="C145" i="34"/>
  <c r="G145" i="34" s="1"/>
  <c r="C177" i="34"/>
  <c r="G177" i="34" s="1"/>
  <c r="C176" i="34"/>
  <c r="G176" i="34" s="1"/>
  <c r="C175" i="34"/>
  <c r="G175" i="34" s="1"/>
  <c r="E169" i="34"/>
  <c r="E161" i="34" s="1"/>
  <c r="C167" i="34"/>
  <c r="G167" i="34" s="1"/>
  <c r="C168" i="34"/>
  <c r="G168" i="34" s="1"/>
  <c r="C170" i="34"/>
  <c r="G170" i="34" s="1"/>
  <c r="C171" i="34"/>
  <c r="G171" i="34" s="1"/>
  <c r="C172" i="34"/>
  <c r="G172" i="34" s="1"/>
  <c r="C173" i="34"/>
  <c r="G173" i="34" s="1"/>
  <c r="C174" i="34"/>
  <c r="G174" i="34" s="1"/>
  <c r="C166" i="34"/>
  <c r="G166" i="34" s="1"/>
  <c r="D169" i="34"/>
  <c r="D165" i="34"/>
  <c r="C165" i="34" s="1"/>
  <c r="G165" i="34" s="1"/>
  <c r="D164" i="34"/>
  <c r="C164" i="34" s="1"/>
  <c r="G164" i="34" s="1"/>
  <c r="D163" i="34"/>
  <c r="C163" i="34" s="1"/>
  <c r="G163" i="34" s="1"/>
  <c r="C148" i="34"/>
  <c r="G148" i="34" s="1"/>
  <c r="C149" i="34"/>
  <c r="C150" i="34"/>
  <c r="F150" i="34" s="1"/>
  <c r="G150" i="34" s="1"/>
  <c r="C152" i="34"/>
  <c r="G152" i="34" s="1"/>
  <c r="C153" i="34"/>
  <c r="G153" i="34" s="1"/>
  <c r="C154" i="34"/>
  <c r="G154" i="34" s="1"/>
  <c r="C155" i="34"/>
  <c r="G155" i="34" s="1"/>
  <c r="C156" i="34"/>
  <c r="G156" i="34" s="1"/>
  <c r="C158" i="34"/>
  <c r="F158" i="34" s="1"/>
  <c r="G158" i="34" s="1"/>
  <c r="C159" i="34"/>
  <c r="D147" i="34"/>
  <c r="E147" i="34"/>
  <c r="E9" i="34" l="1"/>
  <c r="F159" i="34"/>
  <c r="G159" i="34" s="1"/>
  <c r="F149" i="34"/>
  <c r="F147" i="34" s="1"/>
  <c r="D146" i="34"/>
  <c r="C147" i="34"/>
  <c r="D162" i="34"/>
  <c r="C162" i="34" s="1"/>
  <c r="G162" i="34" s="1"/>
  <c r="C169" i="34"/>
  <c r="G169" i="34" s="1"/>
  <c r="C9" i="34" l="1"/>
  <c r="G9" i="34" s="1"/>
  <c r="G149" i="34"/>
  <c r="G147" i="34"/>
  <c r="D161" i="34"/>
  <c r="C161" i="34" s="1"/>
  <c r="G161" i="34" s="1"/>
  <c r="E157" i="34"/>
  <c r="C144" i="34"/>
  <c r="G144" i="34" s="1"/>
  <c r="D143" i="34"/>
  <c r="C143" i="34" s="1"/>
  <c r="G143" i="34" s="1"/>
  <c r="D142" i="34"/>
  <c r="C142" i="34" s="1"/>
  <c r="G142" i="34" s="1"/>
  <c r="D141" i="34"/>
  <c r="C141" i="34" s="1"/>
  <c r="G141" i="34" s="1"/>
  <c r="D140" i="34"/>
  <c r="C140" i="34" s="1"/>
  <c r="G140" i="34" s="1"/>
  <c r="D139" i="34"/>
  <c r="C139" i="34" s="1"/>
  <c r="G139" i="34" s="1"/>
  <c r="D138" i="34"/>
  <c r="C138" i="34" s="1"/>
  <c r="G138" i="34" s="1"/>
  <c r="D137" i="34"/>
  <c r="C137" i="34" s="1"/>
  <c r="G137" i="34" s="1"/>
  <c r="C127" i="34"/>
  <c r="G127" i="34" s="1"/>
  <c r="C128" i="34"/>
  <c r="G128" i="34" s="1"/>
  <c r="C129" i="34"/>
  <c r="G129" i="34" s="1"/>
  <c r="C131" i="34"/>
  <c r="G131" i="34" s="1"/>
  <c r="C133" i="34"/>
  <c r="G133" i="34" s="1"/>
  <c r="D134" i="34"/>
  <c r="D132" i="34"/>
  <c r="C132" i="34" s="1"/>
  <c r="G132" i="34" s="1"/>
  <c r="D126" i="34"/>
  <c r="C126" i="34" s="1"/>
  <c r="G126" i="34" s="1"/>
  <c r="C124" i="34"/>
  <c r="G124" i="34" s="1"/>
  <c r="C122" i="34"/>
  <c r="G122" i="34" s="1"/>
  <c r="C123" i="34"/>
  <c r="G123" i="34" s="1"/>
  <c r="E121" i="34"/>
  <c r="D121" i="34"/>
  <c r="D106" i="34" s="1"/>
  <c r="C108" i="34"/>
  <c r="G108" i="34" s="1"/>
  <c r="C109" i="34"/>
  <c r="G109" i="34" s="1"/>
  <c r="C110" i="34"/>
  <c r="G110" i="34" s="1"/>
  <c r="C111" i="34"/>
  <c r="G111" i="34" s="1"/>
  <c r="C112" i="34"/>
  <c r="G112" i="34" s="1"/>
  <c r="C113" i="34"/>
  <c r="G113" i="34" s="1"/>
  <c r="C114" i="34"/>
  <c r="G114" i="34" s="1"/>
  <c r="C115" i="34"/>
  <c r="G115" i="34" s="1"/>
  <c r="C116" i="34"/>
  <c r="G116" i="34" s="1"/>
  <c r="C117" i="34"/>
  <c r="G117" i="34" s="1"/>
  <c r="C118" i="34"/>
  <c r="G118" i="34" s="1"/>
  <c r="C119" i="34"/>
  <c r="G119" i="34" s="1"/>
  <c r="C120" i="34"/>
  <c r="G120" i="34" s="1"/>
  <c r="E107" i="34"/>
  <c r="E91" i="34"/>
  <c r="D136" i="34" l="1"/>
  <c r="D130" i="34"/>
  <c r="E106" i="34"/>
  <c r="E90" i="34" s="1"/>
  <c r="C121" i="34"/>
  <c r="G121" i="34" s="1"/>
  <c r="C134" i="34"/>
  <c r="G134" i="34" s="1"/>
  <c r="C157" i="34"/>
  <c r="E151" i="34"/>
  <c r="C107" i="34"/>
  <c r="C106" i="34" l="1"/>
  <c r="G106" i="34" s="1"/>
  <c r="G107" i="34"/>
  <c r="F157" i="34"/>
  <c r="F151" i="34" s="1"/>
  <c r="F146" i="34" s="1"/>
  <c r="F135" i="34" s="1"/>
  <c r="D125" i="34"/>
  <c r="C125" i="34" s="1"/>
  <c r="G125" i="34" s="1"/>
  <c r="C130" i="34"/>
  <c r="G130" i="34" s="1"/>
  <c r="C151" i="34"/>
  <c r="E146" i="34"/>
  <c r="C136" i="34"/>
  <c r="G136" i="34" s="1"/>
  <c r="D135" i="34"/>
  <c r="G151" i="34" l="1"/>
  <c r="G157" i="34"/>
  <c r="C146" i="34"/>
  <c r="G146" i="34" s="1"/>
  <c r="E135" i="34"/>
  <c r="C135" i="34" s="1"/>
  <c r="G135" i="34" s="1"/>
  <c r="C94" i="34" l="1"/>
  <c r="G94" i="34" s="1"/>
  <c r="C97" i="34"/>
  <c r="G97" i="34" s="1"/>
  <c r="C102" i="34"/>
  <c r="G102" i="34" s="1"/>
  <c r="C103" i="34"/>
  <c r="G103" i="34" s="1"/>
  <c r="C104" i="34"/>
  <c r="G104" i="34" s="1"/>
  <c r="C105" i="34"/>
  <c r="G105" i="34" s="1"/>
  <c r="D101" i="34"/>
  <c r="C101" i="34" s="1"/>
  <c r="G101" i="34" s="1"/>
  <c r="D100" i="34"/>
  <c r="C100" i="34" s="1"/>
  <c r="G100" i="34" s="1"/>
  <c r="D99" i="34"/>
  <c r="C99" i="34" s="1"/>
  <c r="G99" i="34" s="1"/>
  <c r="D98" i="34"/>
  <c r="C98" i="34" s="1"/>
  <c r="G98" i="34" s="1"/>
  <c r="D96" i="34"/>
  <c r="C96" i="34" s="1"/>
  <c r="G96" i="34" s="1"/>
  <c r="D95" i="34"/>
  <c r="C95" i="34" s="1"/>
  <c r="G95" i="34" s="1"/>
  <c r="D93" i="34"/>
  <c r="C93" i="34" s="1"/>
  <c r="G93" i="34" s="1"/>
  <c r="D92" i="34"/>
  <c r="D91" i="34" l="1"/>
  <c r="C92" i="34"/>
  <c r="G92" i="34" s="1"/>
  <c r="C79" i="34"/>
  <c r="G79" i="34" s="1"/>
  <c r="C80" i="34"/>
  <c r="G80" i="34" s="1"/>
  <c r="C81" i="34"/>
  <c r="G81" i="34" s="1"/>
  <c r="C82" i="34"/>
  <c r="G82" i="34" s="1"/>
  <c r="C83" i="34"/>
  <c r="G83" i="34" s="1"/>
  <c r="C84" i="34"/>
  <c r="G84" i="34" s="1"/>
  <c r="C85" i="34"/>
  <c r="G85" i="34" s="1"/>
  <c r="C86" i="34"/>
  <c r="G86" i="34" s="1"/>
  <c r="C87" i="34"/>
  <c r="G87" i="34" s="1"/>
  <c r="C88" i="34"/>
  <c r="G88" i="34" s="1"/>
  <c r="D89" i="34"/>
  <c r="C89" i="34" s="1"/>
  <c r="G89" i="34" s="1"/>
  <c r="D78" i="34"/>
  <c r="D77" i="34"/>
  <c r="C77" i="34" s="1"/>
  <c r="G77" i="34" s="1"/>
  <c r="D76" i="34"/>
  <c r="C76" i="34" s="1"/>
  <c r="G76" i="34" s="1"/>
  <c r="C91" i="34" l="1"/>
  <c r="G91" i="34" s="1"/>
  <c r="D90" i="34"/>
  <c r="C90" i="34" s="1"/>
  <c r="G90" i="34" s="1"/>
  <c r="D75" i="34"/>
  <c r="C78" i="34"/>
  <c r="C68" i="34"/>
  <c r="G68" i="34" s="1"/>
  <c r="E61" i="34"/>
  <c r="E12" i="34" s="1"/>
  <c r="E8" i="34" s="1"/>
  <c r="C63" i="34"/>
  <c r="G63" i="34" s="1"/>
  <c r="C64" i="34"/>
  <c r="G64" i="34" s="1"/>
  <c r="C66" i="34"/>
  <c r="G66" i="34" s="1"/>
  <c r="C67" i="34"/>
  <c r="G67" i="34" s="1"/>
  <c r="C70" i="34"/>
  <c r="G70" i="34" s="1"/>
  <c r="C71" i="34"/>
  <c r="G71" i="34" s="1"/>
  <c r="C72" i="34"/>
  <c r="G72" i="34" s="1"/>
  <c r="C73" i="34"/>
  <c r="G73" i="34" s="1"/>
  <c r="D74" i="34"/>
  <c r="C74" i="34" s="1"/>
  <c r="G74" i="34" s="1"/>
  <c r="D69" i="34"/>
  <c r="C69" i="34" s="1"/>
  <c r="G69" i="34" s="1"/>
  <c r="D65" i="34"/>
  <c r="C65" i="34" s="1"/>
  <c r="G65" i="34" s="1"/>
  <c r="D62" i="34"/>
  <c r="C62" i="34" l="1"/>
  <c r="F62" i="34"/>
  <c r="F61" i="34" s="1"/>
  <c r="F12" i="34" s="1"/>
  <c r="F8" i="34" s="1"/>
  <c r="C75" i="34"/>
  <c r="G75" i="34" s="1"/>
  <c r="G78" i="34"/>
  <c r="D61" i="34"/>
  <c r="C61" i="34" s="1"/>
  <c r="G61" i="34" s="1"/>
  <c r="G62" i="34" l="1"/>
  <c r="C45" i="34"/>
  <c r="G45" i="34" s="1"/>
  <c r="C37" i="34"/>
  <c r="G37" i="34" s="1"/>
  <c r="C33" i="34"/>
  <c r="G33" i="34" s="1"/>
  <c r="C58" i="34"/>
  <c r="G58" i="34" s="1"/>
  <c r="C59" i="34"/>
  <c r="G59" i="34" s="1"/>
  <c r="C60" i="34"/>
  <c r="G60" i="34" s="1"/>
  <c r="C57" i="34"/>
  <c r="G57" i="34" s="1"/>
  <c r="C28" i="34"/>
  <c r="G28" i="34" s="1"/>
  <c r="C29" i="34"/>
  <c r="G29" i="34" s="1"/>
  <c r="C30" i="34"/>
  <c r="G30" i="34" s="1"/>
  <c r="C32" i="34"/>
  <c r="G32" i="34" s="1"/>
  <c r="C34" i="34"/>
  <c r="G34" i="34" s="1"/>
  <c r="C36" i="34"/>
  <c r="G36" i="34" s="1"/>
  <c r="C38" i="34"/>
  <c r="G38" i="34" s="1"/>
  <c r="C40" i="34"/>
  <c r="G40" i="34" s="1"/>
  <c r="C42" i="34"/>
  <c r="G42" i="34" s="1"/>
  <c r="C44" i="34"/>
  <c r="G44" i="34" s="1"/>
  <c r="C46" i="34"/>
  <c r="G46" i="34" s="1"/>
  <c r="C48" i="34"/>
  <c r="G48" i="34" s="1"/>
  <c r="C50" i="34"/>
  <c r="G50" i="34" s="1"/>
  <c r="C52" i="34"/>
  <c r="G52" i="34" s="1"/>
  <c r="C54" i="34"/>
  <c r="G54" i="34" s="1"/>
  <c r="C56" i="34"/>
  <c r="G56" i="34" s="1"/>
  <c r="D55" i="34"/>
  <c r="C55" i="34" s="1"/>
  <c r="G55" i="34" s="1"/>
  <c r="C20" i="34"/>
  <c r="G20" i="34" s="1"/>
  <c r="C25" i="34"/>
  <c r="G25" i="34" s="1"/>
  <c r="D24" i="34"/>
  <c r="C24" i="34" s="1"/>
  <c r="G24" i="34" s="1"/>
  <c r="D23" i="34"/>
  <c r="C23" i="34" s="1"/>
  <c r="G23" i="34" s="1"/>
  <c r="D22" i="34"/>
  <c r="C16" i="34"/>
  <c r="G16" i="34" s="1"/>
  <c r="D21" i="34" l="1"/>
  <c r="D47" i="34"/>
  <c r="C47" i="34" s="1"/>
  <c r="G47" i="34" s="1"/>
  <c r="D51" i="34"/>
  <c r="C51" i="34" s="1"/>
  <c r="G51" i="34" s="1"/>
  <c r="C49" i="34"/>
  <c r="G49" i="34" s="1"/>
  <c r="C53" i="34"/>
  <c r="G53" i="34" s="1"/>
  <c r="C27" i="34"/>
  <c r="G27" i="34" s="1"/>
  <c r="C14" i="34"/>
  <c r="G14" i="34" s="1"/>
  <c r="D35" i="34"/>
  <c r="C35" i="34" s="1"/>
  <c r="G35" i="34" s="1"/>
  <c r="D39" i="34"/>
  <c r="C39" i="34" s="1"/>
  <c r="G39" i="34" s="1"/>
  <c r="C21" i="34"/>
  <c r="G21" i="34" s="1"/>
  <c r="C22" i="34"/>
  <c r="G22" i="34" s="1"/>
  <c r="C41" i="34"/>
  <c r="G41" i="34" s="1"/>
  <c r="D43" i="34"/>
  <c r="C43" i="34" s="1"/>
  <c r="G43" i="34" s="1"/>
  <c r="C31" i="34"/>
  <c r="G31" i="34" s="1"/>
  <c r="D13" i="34" l="1"/>
  <c r="D26" i="34"/>
  <c r="C26" i="34" s="1"/>
  <c r="G26" i="34" s="1"/>
  <c r="C13" i="34" l="1"/>
  <c r="G13" i="34" s="1"/>
  <c r="D12" i="34"/>
  <c r="D8" i="34" s="1"/>
  <c r="C8" i="34" s="1"/>
  <c r="G8" i="34" s="1"/>
  <c r="G35" i="35"/>
  <c r="G32" i="35"/>
  <c r="C32" i="35"/>
  <c r="E32" i="35" s="1"/>
  <c r="F31" i="35"/>
  <c r="G31" i="35" s="1"/>
  <c r="F28" i="35"/>
  <c r="E28" i="35" s="1"/>
  <c r="F27" i="35"/>
  <c r="E27" i="35" s="1"/>
  <c r="F26" i="35"/>
  <c r="G25" i="35"/>
  <c r="C24" i="35"/>
  <c r="G23" i="35"/>
  <c r="F22" i="35"/>
  <c r="E22" i="35" s="1"/>
  <c r="F21" i="35"/>
  <c r="G20" i="35"/>
  <c r="C20" i="35"/>
  <c r="G19" i="35"/>
  <c r="F19" i="35"/>
  <c r="E19" i="35" s="1"/>
  <c r="G18" i="35"/>
  <c r="F18" i="35"/>
  <c r="C17" i="35"/>
  <c r="F15" i="35"/>
  <c r="F14" i="35" s="1"/>
  <c r="C14" i="35"/>
  <c r="G12" i="35"/>
  <c r="F12" i="35"/>
  <c r="E12" i="35" s="1"/>
  <c r="G11" i="35"/>
  <c r="G10" i="35"/>
  <c r="F10" i="35"/>
  <c r="E10" i="35" s="1"/>
  <c r="E9" i="35" s="1"/>
  <c r="C9" i="35"/>
  <c r="G24" i="35" l="1"/>
  <c r="H25" i="35"/>
  <c r="E26" i="35"/>
  <c r="E24" i="35" s="1"/>
  <c r="F24" i="35"/>
  <c r="E18" i="35"/>
  <c r="E17" i="35" s="1"/>
  <c r="F17" i="35"/>
  <c r="F16" i="35" s="1"/>
  <c r="F13" i="35" s="1"/>
  <c r="G17" i="35"/>
  <c r="I18" i="35"/>
  <c r="I35" i="35"/>
  <c r="I11" i="35"/>
  <c r="E21" i="35"/>
  <c r="E20" i="35" s="1"/>
  <c r="F20" i="35"/>
  <c r="I12" i="35"/>
  <c r="E15" i="35"/>
  <c r="E14" i="35" s="1"/>
  <c r="G9" i="35"/>
  <c r="F30" i="35"/>
  <c r="J19" i="35"/>
  <c r="I19" i="35" s="1"/>
  <c r="F20" i="37"/>
  <c r="H20" i="37" s="1"/>
  <c r="J31" i="35"/>
  <c r="F32" i="37"/>
  <c r="J12" i="35"/>
  <c r="F13" i="37"/>
  <c r="H13" i="37" s="1"/>
  <c r="J35" i="35"/>
  <c r="J33" i="35" s="1"/>
  <c r="F36" i="37"/>
  <c r="J10" i="35"/>
  <c r="I10" i="35" s="1"/>
  <c r="F11" i="37"/>
  <c r="J32" i="35"/>
  <c r="F33" i="37"/>
  <c r="H33" i="37" s="1"/>
  <c r="J23" i="35"/>
  <c r="I23" i="35" s="1"/>
  <c r="F24" i="37"/>
  <c r="G33" i="35"/>
  <c r="C16" i="35"/>
  <c r="J18" i="35"/>
  <c r="F19" i="37"/>
  <c r="C12" i="34"/>
  <c r="G12" i="34" s="1"/>
  <c r="F9" i="35"/>
  <c r="G30" i="35"/>
  <c r="C31" i="35"/>
  <c r="I9" i="35" l="1"/>
  <c r="I33" i="35"/>
  <c r="I31" i="35"/>
  <c r="G16" i="35"/>
  <c r="I17" i="35"/>
  <c r="I30" i="35"/>
  <c r="E16" i="35"/>
  <c r="E13" i="35" s="1"/>
  <c r="E8" i="35" s="1"/>
  <c r="E7" i="35" s="1"/>
  <c r="F8" i="35"/>
  <c r="F7" i="35" s="1"/>
  <c r="I32" i="35"/>
  <c r="J17" i="35"/>
  <c r="J16" i="35" s="1"/>
  <c r="J13" i="35" s="1"/>
  <c r="H24" i="35"/>
  <c r="C30" i="35"/>
  <c r="E30" i="35" s="1"/>
  <c r="E31" i="35"/>
  <c r="C13" i="35"/>
  <c r="F18" i="37"/>
  <c r="H19" i="37"/>
  <c r="J9" i="35"/>
  <c r="F10" i="37"/>
  <c r="H10" i="37" s="1"/>
  <c r="H11" i="37"/>
  <c r="F34" i="37"/>
  <c r="H34" i="37" s="1"/>
  <c r="H36" i="37"/>
  <c r="H32" i="37"/>
  <c r="F31" i="37"/>
  <c r="H31" i="37" s="1"/>
  <c r="J30" i="35"/>
  <c r="H16" i="35" l="1"/>
  <c r="I16" i="35"/>
  <c r="I13" i="35" s="1"/>
  <c r="G13" i="35"/>
  <c r="G8" i="35" s="1"/>
  <c r="G7" i="35" s="1"/>
  <c r="J8" i="35"/>
  <c r="C8" i="35"/>
  <c r="H18" i="37"/>
  <c r="F17" i="37"/>
  <c r="C12" i="30"/>
  <c r="C10" i="30"/>
  <c r="C25" i="30"/>
  <c r="C9" i="30"/>
  <c r="C11" i="30"/>
  <c r="C13" i="30"/>
  <c r="C14" i="30"/>
  <c r="C15" i="30"/>
  <c r="C16" i="30"/>
  <c r="C17" i="30"/>
  <c r="C18" i="30"/>
  <c r="C19" i="30"/>
  <c r="C22" i="30"/>
  <c r="C23" i="30"/>
  <c r="C24" i="30"/>
  <c r="C26" i="30"/>
  <c r="C27" i="30"/>
  <c r="C28" i="30"/>
  <c r="C24" i="29"/>
  <c r="C10" i="29"/>
  <c r="H13" i="35" l="1"/>
  <c r="H8" i="35" s="1"/>
  <c r="H7" i="35" s="1"/>
  <c r="I8" i="35"/>
  <c r="J7" i="35"/>
  <c r="C7" i="35"/>
  <c r="D8" i="30"/>
  <c r="C8" i="30" s="1"/>
  <c r="C8" i="29"/>
  <c r="C6" i="29" s="1"/>
  <c r="F14" i="37"/>
  <c r="H17" i="37"/>
  <c r="I7" i="35" l="1"/>
  <c r="F9" i="37"/>
  <c r="H14" i="37"/>
  <c r="F8" i="37" l="1"/>
  <c r="H8" i="37" s="1"/>
  <c r="H9" i="37"/>
</calcChain>
</file>

<file path=xl/sharedStrings.xml><?xml version="1.0" encoding="utf-8"?>
<sst xmlns="http://schemas.openxmlformats.org/spreadsheetml/2006/main" count="856" uniqueCount="468">
  <si>
    <t>TT</t>
  </si>
  <si>
    <t>I</t>
  </si>
  <si>
    <t>II</t>
  </si>
  <si>
    <t>Nội dung</t>
  </si>
  <si>
    <t>A</t>
  </si>
  <si>
    <t>Thu kết dư</t>
  </si>
  <si>
    <t>Các khoản thu tỷ lệ hưởng 100%</t>
  </si>
  <si>
    <t>Thu bổ sung cân đối NS, bổ sung có mục tiêu</t>
  </si>
  <si>
    <t>Thu chuyển nguồn ngân sách từ năm trước</t>
  </si>
  <si>
    <t>Thu thuế cấp quyền khai thác khoáng sản</t>
  </si>
  <si>
    <t>Thu tiền thuê mặt đất, mặt nước</t>
  </si>
  <si>
    <t xml:space="preserve">Thuế giá trị gia tăng </t>
  </si>
  <si>
    <t>Thuế thu nhập cá nhân</t>
  </si>
  <si>
    <t>Chi khác</t>
  </si>
  <si>
    <t>B</t>
  </si>
  <si>
    <t>C</t>
  </si>
  <si>
    <t>1.1</t>
  </si>
  <si>
    <t>1.2</t>
  </si>
  <si>
    <t>1.3</t>
  </si>
  <si>
    <t>2.1</t>
  </si>
  <si>
    <t>2.2</t>
  </si>
  <si>
    <t>2.3</t>
  </si>
  <si>
    <t>2.4</t>
  </si>
  <si>
    <t>2.5</t>
  </si>
  <si>
    <t>2.6</t>
  </si>
  <si>
    <t>III</t>
  </si>
  <si>
    <t>IV</t>
  </si>
  <si>
    <t>VI</t>
  </si>
  <si>
    <t>a</t>
  </si>
  <si>
    <t>b</t>
  </si>
  <si>
    <t>c</t>
  </si>
  <si>
    <t>V</t>
  </si>
  <si>
    <t>VII</t>
  </si>
  <si>
    <t>VIII</t>
  </si>
  <si>
    <t>IX</t>
  </si>
  <si>
    <t>Chi thường xuyên</t>
  </si>
  <si>
    <t>Chi đầu tư phát triển</t>
  </si>
  <si>
    <t xml:space="preserve"> -</t>
  </si>
  <si>
    <t>-</t>
  </si>
  <si>
    <t>Đơn vị tính: Nghìn đồng</t>
  </si>
  <si>
    <t xml:space="preserve">Thu nội địa </t>
  </si>
  <si>
    <t>Tổng thu</t>
  </si>
  <si>
    <t>Các khoản thu phân chia theo tỷ lệ %</t>
  </si>
  <si>
    <t>Các khoản thu phân chia</t>
  </si>
  <si>
    <t xml:space="preserve">Kinh phí hoạt động </t>
  </si>
  <si>
    <t xml:space="preserve">Thu tiền sử dụng đất </t>
  </si>
  <si>
    <t>Đơn vị: Triệu đồng</t>
  </si>
  <si>
    <t>Biểu mẫu số 15</t>
  </si>
  <si>
    <t>STT</t>
  </si>
  <si>
    <t>Tuyệt đối</t>
  </si>
  <si>
    <t>TỔNG NGUỒN THU NSĐP</t>
  </si>
  <si>
    <t>Thu NSĐP được hưởng theo phân cấp</t>
  </si>
  <si>
    <t>Thu NSĐP hưởng 100%</t>
  </si>
  <si>
    <t>Thu NSĐP hưởng từ các khoản thu phân chia</t>
  </si>
  <si>
    <t xml:space="preserve">Thu bổ sung từ ngân sách cấp trên </t>
  </si>
  <si>
    <t>Thu bổ sung cân đối ngân sách</t>
  </si>
  <si>
    <t>Thu bổ sung có mục tiêu</t>
  </si>
  <si>
    <t>Thu từ quỹ dự trữ tài chính</t>
  </si>
  <si>
    <t>Tăng thu thường xuyên</t>
  </si>
  <si>
    <t>TỔNG CHI NSĐP</t>
  </si>
  <si>
    <t xml:space="preserve">Tổng chi cân đối NSĐP </t>
  </si>
  <si>
    <t xml:space="preserve">Chi đầu tư phát triển </t>
  </si>
  <si>
    <t>Chi bổ sung quỹ dự trữ tài chính</t>
  </si>
  <si>
    <t>Dự phòng ngân sách</t>
  </si>
  <si>
    <t xml:space="preserve">Chi các chương trình mục tiêu </t>
  </si>
  <si>
    <t>Chi các chương trình mục tiêu quốc gia</t>
  </si>
  <si>
    <t>Chi các chương trình mục tiêu, nhiệm vụ</t>
  </si>
  <si>
    <t>Chi từ tăng thu, kết dư, chuyển nguồn, mục tiêu cấp trên</t>
  </si>
  <si>
    <t>Chi chuyển nguồn sang năm sau</t>
  </si>
  <si>
    <t>Ước thực hiện
 năm 2025</t>
  </si>
  <si>
    <t>Tuyệt 
đối</t>
  </si>
  <si>
    <t>Tương 
đối (%)</t>
  </si>
  <si>
    <t>HỘI ĐỒNG NHÂN DÂN PHƯỜNG VŨNG ÁNG</t>
  </si>
  <si>
    <t>Biểu mẫu số 17</t>
  </si>
  <si>
    <t>So sánh</t>
  </si>
  <si>
    <t>3=2-1</t>
  </si>
  <si>
    <t>4=2/1</t>
  </si>
  <si>
    <t>CHI CÂN ĐỐI NSĐP</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</si>
  <si>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</si>
  <si>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</si>
  <si>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</si>
  <si>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</si>
  <si>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</si>
  <si>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</si>
  <si>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</si>
  <si>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phát triển khác</t>
  </si>
  <si>
    <t>Trong đó:</t>
  </si>
  <si>
    <t>CHI CÁC CHƯƠNG TRÌNH MỤC TIÊU</t>
  </si>
  <si>
    <t>Chương trình MTQG xây dựng nông thôn mới</t>
  </si>
  <si>
    <t xml:space="preserve">Chi các chương trình mục tiêu, nhiệm vụ </t>
  </si>
  <si>
    <t>CHI CHUYỂN NGUỒN SANG NĂM SAU</t>
  </si>
  <si>
    <t>Biểu mẫu 34</t>
  </si>
  <si>
    <t>Dự toán</t>
  </si>
  <si>
    <t>CHI BỔ SUNG CÂN ĐỐI CHO NGÂN SÁCH CẤP DƯỚI</t>
  </si>
  <si>
    <t>Chi đầu tư cho các dự án</t>
  </si>
  <si>
    <t>Chi khoa học và công nghệ</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</si>
  <si>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</si>
  <si>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</si>
  <si>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</si>
  <si>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</si>
  <si>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</si>
  <si>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</si>
  <si>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</si>
  <si>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</si>
  <si>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</si>
  <si>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</si>
  <si>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</si>
  <si>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</si>
  <si>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hành chính, đảng, đoàn thể</t>
  </si>
  <si>
    <t>1.10</t>
  </si>
  <si>
    <t>Chi bảo đảm xã hội</t>
  </si>
  <si>
    <t>Chi văn hóa thông tin, thể dục thể thao</t>
  </si>
  <si>
    <t>Chi hoạt động của cơ quan quản lý nhà nước, đảng, đoàn thể</t>
  </si>
  <si>
    <t>Chi quốc phòng, an ninh</t>
  </si>
  <si>
    <t xml:space="preserve">Dự phòng ngân sách </t>
  </si>
  <si>
    <t>CHI NGÂN SÁCH XÃ TỪ TĂNG THU, KẾT DƯ, CHUYỂN NGUỒN, MỤC TIÊU CẤP TRÊN HỖ TRỢ</t>
  </si>
  <si>
    <t xml:space="preserve">                                                                             HỘI ĐỒNG NHÂN DÂN PHƯỜNG VŨNG ÁNG</t>
  </si>
  <si>
    <t>Biểu mẫu 35</t>
  </si>
  <si>
    <t>ĐVT: nghìn đồng</t>
  </si>
  <si>
    <t>TÊN ĐƠN VỊ</t>
  </si>
  <si>
    <t xml:space="preserve">TỔNG SỐ </t>
  </si>
  <si>
    <t>CHI CHƯƠNG TRÌNH MTQG</t>
  </si>
  <si>
    <t>TỔNG SỐ</t>
  </si>
  <si>
    <t xml:space="preserve">Văn phòng Đảng ủy </t>
  </si>
  <si>
    <t xml:space="preserve">Ủy ban mặt trận tổ quốc </t>
  </si>
  <si>
    <t>CHI ĐẦU TƯ
 PHÁT TRIỂN (KHÔNG KỂ CHƯƠNG TRÌNH MỤC TIÊU QUỐC GIA)</t>
  </si>
  <si>
    <t>CHI THƯỜNG 
XUYÊN  (KHÔNG KỂ CHƯƠNG TRÌNH MỤC TIÊU QUỐC GIA)</t>
  </si>
  <si>
    <t>CHI DỰ
 PHÒNG NGÂN SÁCH</t>
  </si>
  <si>
    <t>CHI 
THƯỜNG XUYÊN</t>
  </si>
  <si>
    <t>CHI CHUYỂN 
NGUỒN SANG NGÂN SÁCH NĂM SAU</t>
  </si>
  <si>
    <t>CHI ĐẦU
 TƯ PHÁT TRIỂN</t>
  </si>
  <si>
    <t>TỔNG
 SỐ</t>
  </si>
  <si>
    <t>Biểu mẫu 36</t>
  </si>
  <si>
    <t>Đơn vị: Nghìn đồng</t>
  </si>
  <si>
    <t>TRONG ĐÓ:</t>
  </si>
  <si>
    <t>CHI GIÁO
 DỤC ĐÀO TẠO VÀ DẠY NGHỀ</t>
  </si>
  <si>
    <t>CHI VĂN 
HÓA THÔNG TIN</t>
  </si>
  <si>
    <t>CHI 
PHÁT THANH TRUYỀN HÌNH</t>
  </si>
  <si>
    <t>CHI BẢO 
VỆ MÔI TRƯỜNG</t>
  </si>
  <si>
    <t>CHI CÁC 
HOẠT ĐỘNG KINH TẾ</t>
  </si>
  <si>
    <t>CHI GIAO 
THÔNG</t>
  </si>
  <si>
    <t>HẠ 
TẦNG CẢNH QUAN</t>
  </si>
  <si>
    <t>CHI QUẢN
 LÝ NHÀ NƯỚC</t>
  </si>
  <si>
    <t>CHI ĐẢM
 BẢO XÃ HỘI</t>
  </si>
  <si>
    <t>Biểu mẫu 37</t>
  </si>
  <si>
    <t>Đơn vị: nghìn đồng</t>
  </si>
  <si>
    <t>TRONG ĐÓ</t>
  </si>
  <si>
    <t>CHI GIÁO 
DỤC - ĐÀO TẠO VÀ DẠY NGHỀ</t>
  </si>
  <si>
    <t>CHI AN
 NINH</t>
  </si>
  <si>
    <t>CHI QUỐC
 PHÒNG</t>
  </si>
  <si>
    <t>CHI Y TẾ,
 DÂN SỐ VÀ GIA ĐÌNH</t>
  </si>
  <si>
    <t>CHI BẢO
 VỆ MÔI TRƯỜNG</t>
  </si>
  <si>
    <t>CHI CÁC
 HOẠT ĐỘNG KINH TẾ</t>
  </si>
  <si>
    <t>CHI HOẠT 
ĐỘNG CỦA CƠ QUAN QUẢN LÝ NHÀ NƯỚC, ĐẢNG, ĐOÀN THỂ</t>
  </si>
  <si>
    <t>CHI GIAO
 THÔNG</t>
  </si>
  <si>
    <t>CHI BẢO 
ĐẢM XÃ HỘI</t>
  </si>
  <si>
    <t>CHI THƯỜNG 
XUYÊN KHÁC</t>
  </si>
  <si>
    <t>Chi trả nợ lãi các khoản do chính quyền địa
 phương vay</t>
  </si>
  <si>
    <t xml:space="preserve">                                                                    HỘI ĐỒNG NHÂN DÂN PHƯỜNG VŨNG ÁNG</t>
  </si>
  <si>
    <t>Chi đầu tư và hỗ trợ vốn cho các doanh 
nghiệp cung cấp sản phẩm, dịch vụ công ích do Nhà nước đặt hàng, các tổ chức kinh tế, các tổ chức tài chính của địa phương theo quy định của pháp luật</t>
  </si>
  <si>
    <t>Chi từ tăng thu, kết dư, chuyển nguồn, 
mục tiêu cấp trên</t>
  </si>
  <si>
    <t xml:space="preserve">                    HỘI ĐỒNG NHÂN DÂN PHƯỜNG VŨNG ÁNG</t>
  </si>
  <si>
    <t>DỰ TOÁN CHI NGÂN SÁCH CẤP PHƯỜNG CHO TỪNG CƠ QUAN, TỔ CHỨC NĂM 2025</t>
  </si>
  <si>
    <t>DỰ TOÁN CHI ĐẦU TƯ PHÁT TRIỂN NGÂN SÁCH CẤP PHƯỜNG CHO TỪNG CƠ QUAN, TỔ CHỨC NĂM 2025</t>
  </si>
  <si>
    <t>Chi bố trí nguồn để lại cải cách tiền lương</t>
  </si>
  <si>
    <t>Thu chuyển nguồn từ năm trước chuyển
 sang</t>
  </si>
  <si>
    <t>TỔNG CHI NGÂN SÁCH  PHƯỜNG</t>
  </si>
  <si>
    <t>CHI NGÂN SÁCH CẤP PHƯỜNG THEO LĨNH VỰC</t>
  </si>
  <si>
    <t>Trường mầm non Kỳ Long</t>
  </si>
  <si>
    <t>Trường mầm non Kỳ Thịnh</t>
  </si>
  <si>
    <t>Trường tiểu học Kỳ Long</t>
  </si>
  <si>
    <t>Trường tiểu học Kỳ Thịnh 1</t>
  </si>
  <si>
    <t>Trường tiểu học Kỳ Thịnh 2</t>
  </si>
  <si>
    <t>Trường THCS Kỳ Long</t>
  </si>
  <si>
    <t>Trường THCS Kỳ Thịnh</t>
  </si>
  <si>
    <t>Văn phòng HĐND- UBND phường</t>
  </si>
  <si>
    <t>Chi sự nghiệp giáo dục</t>
  </si>
  <si>
    <t>Chi An  ninh</t>
  </si>
  <si>
    <t>Chi Quốc phòng</t>
  </si>
  <si>
    <t xml:space="preserve">Thu từ khu vực vốn đầu tư nước ngoài </t>
  </si>
  <si>
    <t>CHI VĂN 
HÓA TT, TDTT, TRUYỀN THANH TRUYỀN HÌNH</t>
  </si>
  <si>
    <t>Phân chia các cấp ngân sách</t>
  </si>
  <si>
    <t>Ghi chú</t>
  </si>
  <si>
    <t>Thu phí lệ phí</t>
  </si>
  <si>
    <t>Thuế sử dụng đất phi nông nghiệp</t>
  </si>
  <si>
    <t xml:space="preserve">Thu khác </t>
  </si>
  <si>
    <t>Lệ phí trước bạ nhà đất phường hưởng 50%</t>
  </si>
  <si>
    <t>Các khoản thu phân chia khác do tỉnh quy định (phường hưởng 50%)</t>
  </si>
  <si>
    <t>Thu thuế cấp quyền khai thác khoáng sản sử dụng khu vực biển</t>
  </si>
  <si>
    <t xml:space="preserve">Thu thuế cấp quyền khai thác khoáng sản </t>
  </si>
  <si>
    <t xml:space="preserve"> Tiền sử dụng đất phát sinh trên địa bàn do phường thực hiện (TW hưởng 15%; Tỉnh và phường hưởng 85%), trong đó phường hưởng 20% của 85%</t>
  </si>
  <si>
    <t xml:space="preserve"> Tiền sử dụng đất phát sinh trên địa bàn do tỉnh thực hiện (TW hưởng 15%; Tỉnh và phường hưởng 85%), trong đó phường hưởng 70% của 85% </t>
  </si>
  <si>
    <t>Thu từ DNNN Địa phương (NSTW hưởng)</t>
  </si>
  <si>
    <t xml:space="preserve">Thu từ khu vực kinh tế ngoài Quốc doanh </t>
  </si>
  <si>
    <t xml:space="preserve">Thu bán đấu giá tài sản  </t>
  </si>
  <si>
    <t>Thu bổ sung cân đối ngân sách cấp trên</t>
  </si>
  <si>
    <t>Thu bổ sung nguồn có mục tiêu</t>
  </si>
  <si>
    <t xml:space="preserve">Các khoản thu chuyển nguồn và kết dư </t>
  </si>
  <si>
    <t>Dự kiến thu kết dư ngân sách (từ tiền sử dụng đất)</t>
  </si>
  <si>
    <t>Nội dung chi</t>
  </si>
  <si>
    <t>Trong đó</t>
  </si>
  <si>
    <t>Trong định mức</t>
  </si>
  <si>
    <t>Ngoài định mức</t>
  </si>
  <si>
    <t>X</t>
  </si>
  <si>
    <t>Trung tâm dịch vụ tổng hợp</t>
  </si>
  <si>
    <t>XI</t>
  </si>
  <si>
    <t>XII</t>
  </si>
  <si>
    <t>ĐVT: 1.000 đồng</t>
  </si>
  <si>
    <t>Số tiền</t>
  </si>
  <si>
    <t>Chủ đầu tư</t>
  </si>
  <si>
    <t xml:space="preserve"> DỰ TOÁN THU NGÂN SÁCH NHÀ NƯỚC NĂM 2026</t>
  </si>
  <si>
    <t xml:space="preserve"> DỰ TOÁN CHI NGÂN SÁCH PHƯỜNG NĂM 2026</t>
  </si>
  <si>
    <t xml:space="preserve">           Đơn vị tính: Nghìn đồng</t>
  </si>
  <si>
    <t>DỰ TOÁN CHI SỰ NGHIỆP GIÁO DỤC NĂM 2026</t>
  </si>
  <si>
    <t>Đơn vị</t>
  </si>
  <si>
    <t>Biên chế</t>
  </si>
  <si>
    <t>Nhu cầu quỹ lương, chi hoạt động, quỹ tiền thưởng năm 2026</t>
  </si>
  <si>
    <t>Nguồn NSNN cấp</t>
  </si>
  <si>
    <t>Kế hoạch</t>
  </si>
  <si>
    <t>Thực tế</t>
  </si>
  <si>
    <t>Tổng</t>
  </si>
  <si>
    <t>Quỹ lương năm 2026</t>
  </si>
  <si>
    <t>Dự kiến tăng lương năm 2026</t>
  </si>
  <si>
    <t>20% tiết kiệm chi thường xuyên</t>
  </si>
  <si>
    <t>5=6+7+8</t>
  </si>
  <si>
    <t>10=11+12</t>
  </si>
  <si>
    <t>Khối mầm non</t>
  </si>
  <si>
    <t>Tiểu học</t>
  </si>
  <si>
    <t>Trung học cơ sở</t>
  </si>
  <si>
    <t>Trường MN Kỳ Long</t>
  </si>
  <si>
    <t>Trường MN Kỳ Kỳ Thịnh</t>
  </si>
  <si>
    <t>Trường TH Kỳ Long</t>
  </si>
  <si>
    <t>Trường TH Kỳ Thịnh 1</t>
  </si>
  <si>
    <t>Trường TH Kỳ Thịnh 2</t>
  </si>
  <si>
    <t>Biểu mẫu số 16</t>
  </si>
  <si>
    <t>DỰ TOÁN THU NGÂN SÁCH NHÀ NƯỚC THEO LĨNH VỰC NĂM 2026</t>
  </si>
  <si>
    <t>Ước thực hiện năm 2025</t>
  </si>
  <si>
    <t>Dự toán năm 2026</t>
  </si>
  <si>
    <t>So sánh (%)</t>
  </si>
  <si>
    <t>Tổng thu NSNN</t>
  </si>
  <si>
    <t>Thu NSĐP</t>
  </si>
  <si>
    <t>5=3/1</t>
  </si>
  <si>
    <t>6=4/2</t>
  </si>
  <si>
    <t>Tổng chi</t>
  </si>
  <si>
    <t>Trừ 5% tiết kiệm chi từ nguồn sử dụng đất</t>
  </si>
  <si>
    <t>Chi Quốc phòng, An ninh</t>
  </si>
  <si>
    <t xml:space="preserve">Chi Quốc phòng </t>
  </si>
  <si>
    <t>Phụ cấp CTV, phó CTV, chỉ huy trưởng, trung đội, tiểu đội, khẩu đội trưởng, thôn đội trường  Phụ cấp thâm niên chỉ huy trưởng và chỉ huy phó + phụ cấp đặc thù lĩnh vực dân quân</t>
  </si>
  <si>
    <t>Phụ cấp thôn đội trưởng  hệ số  0,5*2340 *16 người  *12 tháng</t>
  </si>
  <si>
    <t xml:space="preserve">Kinh phí ngày công huấn luyện của các lực lượng </t>
  </si>
  <si>
    <t>Kinh phí tiền ăn cho các lực lượng huấn luyện</t>
  </si>
  <si>
    <t>Chi hoạt động thường xuyên phục vụ công tác huấn luyện do nguồn tỉnh cấp về như  hỗ trợ vật chất huấn luyện tổng kết thi đua khen thưởng</t>
  </si>
  <si>
    <t xml:space="preserve">Chi hoạt động định mức sau sáp nhập </t>
  </si>
  <si>
    <t>Chi An ninh</t>
  </si>
  <si>
    <t>Phụ cấp  tổ trưởng tổ bảo vệ An Ninh cơ sở  hệ số  0.55 x 2.340 * 16người *12T</t>
  </si>
  <si>
    <t>Phụ cấp tổ phó tổ bảo vệ An Ninh cơ sở  hệ số  0.50 x 2.340 * 16 người *12T</t>
  </si>
  <si>
    <t>Phụ cấp TV tổ bảo vệ An Ninh cơ sở  hệ số  0.45 x 2.340* 16 người *12T</t>
  </si>
  <si>
    <t xml:space="preserve">Lương các khoản phụ cấp theo lương, các khoản đóng góp 'BHXH + BHYT </t>
  </si>
  <si>
    <t>Chi hoạt động thường xuyên theo định mức</t>
  </si>
  <si>
    <t>Tiền thưởng (theo NĐ 73/2024)</t>
  </si>
  <si>
    <t>Tiền  thưởng (theo NĐ 73/2024)</t>
  </si>
  <si>
    <t xml:space="preserve">Lương các khoản phụ cấp theo lương, đóng góp 'BHXH + BHYT </t>
  </si>
  <si>
    <t xml:space="preserve">Trường THCS Kỳ Thịnh </t>
  </si>
  <si>
    <t>Chi các hoạt động chính sách khác của trường: (Gồm các khoản: Nâng lương; tiền ăn trưa của trẻ 3,4,5 tuổi, chính sách cho học sinh theo NĐ 238/2025/NĐ-CP; hỗ trợ học sinh khuyết tật theo TTLT số 42, phụ cấp thể dục, hợp đồng giáo viên theo NĐ 111/2022/NĐ-CP, KP giáo viên dạy học sinh khuyết tật, Trung tâm học tập cộng đồng).</t>
  </si>
  <si>
    <t xml:space="preserve">Xây mới, nâng cấp, sửa chữa, cải tạo, đầu tư cơ sở vật chất trường học </t>
  </si>
  <si>
    <t>Chi sự nghiệp y tế</t>
  </si>
  <si>
    <t>Sự nghiệp Văn hoá thể dục thể thao và Du lịch</t>
  </si>
  <si>
    <t>Chi hoạt đông sự nghiệp văn hoá thể dục và thể thao du lịch (Đinh mức theo số lượng xã, phường sau sáp nhập)</t>
  </si>
  <si>
    <t>Chi kinh phí truyền thanh cấp phường</t>
  </si>
  <si>
    <t xml:space="preserve"> Sự nghiệp kinh tế</t>
  </si>
  <si>
    <t xml:space="preserve">Chi sự nghiệp môi trường </t>
  </si>
  <si>
    <t>Chi  thanh toán vận chuyển thu gom  rác thải</t>
  </si>
  <si>
    <t>Duy tu chăm sóc hệ thống cây xanh và trồng mới cây xanh</t>
  </si>
  <si>
    <t>Kiến thiết thị chính</t>
  </si>
  <si>
    <t>Chi tiền điện thắp sáng công cộng</t>
  </si>
  <si>
    <t>Khác phục sữa chữa thường xuyên (điện chiếu sáng, bảng quảng cáo, tuyên truyền…)</t>
  </si>
  <si>
    <t>Khắc phục sữa chữa các công trình hạ tầng kỹ thuật</t>
  </si>
  <si>
    <t xml:space="preserve">Sự Nghiệp giao thông </t>
  </si>
  <si>
    <t>Bảo dưỡng thường xuyên</t>
  </si>
  <si>
    <t>Sửa chữa định kỳ</t>
  </si>
  <si>
    <t xml:space="preserve">Chi sữa chữa hệ thống cống, mương thoát nước </t>
  </si>
  <si>
    <t xml:space="preserve">Công tác an toàn giao thông; quản lý trật tự xây dựng, trật tự đô thị </t>
  </si>
  <si>
    <t>Sự nghiệp kinh tế khác (Khu nghĩa trang, nước sách)</t>
  </si>
  <si>
    <t>Sự nghiệp xã hội</t>
  </si>
  <si>
    <t>Phụ cấp thanh niên xung phong (9 đối tượng)</t>
  </si>
  <si>
    <t>Chi khác, an sinh xã hội chúc thọ mừng thọ cho các cụ cao tuổi</t>
  </si>
  <si>
    <t>BHYT các đối tượng bảo trợ xã hội, CCB, người nghèo</t>
  </si>
  <si>
    <t>Tiền điện hộ nghèo năm 2026</t>
  </si>
  <si>
    <t>Tặng quà, thắp hương  nhân ngày thương binh, liệt sĩ ngày 27/7</t>
  </si>
  <si>
    <t>Quà tết cổ truyền hàng năm (theo đề xuất của sở Y tế tại văn bản số 4358/SYT -BTBXH-PCTNXH ngày 14/11/2025</t>
  </si>
  <si>
    <t>Kinh phí chính sách, chế độ ưu đãi NCC với cách mạng, người trực tiếp tham gia kháng chiến</t>
  </si>
  <si>
    <t>Bảo hiểm y tế đối tượng người có công</t>
  </si>
  <si>
    <t>Quản lý Nhà nước</t>
  </si>
  <si>
    <t>Lương và các khoản khấu trừ phải nộp theo lương</t>
  </si>
  <si>
    <t>Chi hoạt động theo định mức</t>
  </si>
  <si>
    <t>Phu cấp cán bộ bán chuyên trách khối QLNN</t>
  </si>
  <si>
    <t xml:space="preserve">Kinh phí hoạt động thanh tra nhân dân </t>
  </si>
  <si>
    <t xml:space="preserve">Phụ cấp cho những người làm công tác tôn giáo </t>
  </si>
  <si>
    <t>Hợp đồng bảo vệ, phục vụ, lái xe</t>
  </si>
  <si>
    <t>Phụ cấp tổ chuyển đổi số cộng đồng theo NQ 119</t>
  </si>
  <si>
    <t>Hoạt động lĩnh vực Quản lý Nhà nước</t>
  </si>
  <si>
    <t>Hoạt động chung quản lý nhà nước</t>
  </si>
  <si>
    <t>Bồi dưỡng cho CBCC làm nhiệm vụ tiếp công dân, xử lý đơn thư theo Nghị quyêt số 99//2018 của HĐND tỉnh, hỗ trợ bộ phận tiếp nhận và trả kết quả tại TTPVHCC theo quyết định 37/QĐ-UBND tỉnh</t>
  </si>
  <si>
    <t>Chi mua phần mềm  kế toán MIsa</t>
  </si>
  <si>
    <t>Chi tổ chức kỷ niệm các ngày lễ lớn</t>
  </si>
  <si>
    <t>Chi Đoàn ra đoàn vào</t>
  </si>
  <si>
    <t>Phòng Kinh tế, Hạ tầng và Đô thị</t>
  </si>
  <si>
    <t>Phòng Văn hóa - Xã hội</t>
  </si>
  <si>
    <t>Trung tâm phục vụ hành chính công</t>
  </si>
  <si>
    <t>Chi hoạt động theo định mức đại biểu HĐND theo NQ 170-HĐND tỉnh</t>
  </si>
  <si>
    <t>Chi hoạt động thường xuyên; trang phục đầu khóa; mua săm thiết bị và chi khác</t>
  </si>
  <si>
    <t>Kinh phí năm 2025</t>
  </si>
  <si>
    <t>Lương , phụ cấp theo lương và các khoản đóng góp 2 tháng cuối năm 2025</t>
  </si>
  <si>
    <t>Kinh phí năm 2026</t>
  </si>
  <si>
    <t>Lương và các khoản phụ cấp theo lương  năm 2026</t>
  </si>
  <si>
    <t>Đảng ủy phường</t>
  </si>
  <si>
    <t>Lương, phụ cấp</t>
  </si>
  <si>
    <t>Lương  và các khoản phụ cấp có tính chất theo lương (Tổng hệ số  97.24 *2340*12 T)</t>
  </si>
  <si>
    <t>Các khoản đóng góp 'BHXH + BHYT (Hệ số 70,88 *2.340*20.5%*12T)</t>
  </si>
  <si>
    <t>Phụ cấp Bí thư chi bộ các TDP</t>
  </si>
  <si>
    <t xml:space="preserve">Hỗ trợ hoạt động ban công tác 35 </t>
  </si>
  <si>
    <t xml:space="preserve">Hoạt động </t>
  </si>
  <si>
    <t>Kinh phí hoạt động Ban xây dựng Đảng</t>
  </si>
  <si>
    <t xml:space="preserve">  +</t>
  </si>
  <si>
    <t>Kinh phí tặng thưởng kèm theo huy hiệu Đảng, kỷ niệm ngày thành lập</t>
  </si>
  <si>
    <t xml:space="preserve"> +</t>
  </si>
  <si>
    <t>Hoạt động</t>
  </si>
  <si>
    <t>Kinh phí hoạt động của Ủy ban kiểm tra</t>
  </si>
  <si>
    <t>Kinh hoạt động Văn phòng Đảng ủy</t>
  </si>
  <si>
    <t>Kinh phí hỗ trợ các chi bộ hoạt động theo QĐ số 99/QĐ-TW ngày 30/5/2012</t>
  </si>
  <si>
    <t>Chế độ bồi dưỡng phục vụ hoạt động cấp ủy (theo quy định 44-QĐ/TW /2025)</t>
  </si>
  <si>
    <t>Kinh phí đặt báo của Đảng</t>
  </si>
  <si>
    <t>Hợp đồng bảo vệ, tạp vụ, lái xe</t>
  </si>
  <si>
    <t xml:space="preserve">Hoạt động chi phí xăng xe ô tô và chi phí khác </t>
  </si>
  <si>
    <t>Chi đoàn ra đoàn vào</t>
  </si>
  <si>
    <t>Chi khác văn phòng Đảng ủy</t>
  </si>
  <si>
    <t>Mặt trận Tổ quốc và các tổ chức chính trị xã hội</t>
  </si>
  <si>
    <t xml:space="preserve">Lương và các khoản phụ cấp </t>
  </si>
  <si>
    <t>Các khoản đóng góp 'BHXH, BHYT (Hệ số 32.92* 2.340*20.5%*12T)</t>
  </si>
  <si>
    <t>Phụ cấp trưởng ban công tác Mặt trận các tổ dân phố</t>
  </si>
  <si>
    <t>Phụ cấp các nhóm nhiệm vụ khác ở TDP</t>
  </si>
  <si>
    <t>Kinh phí hoạt động khu dân cư  5.000đ * 16 TDP</t>
  </si>
  <si>
    <t>Kinh phí thực hiện các cuộc hội nghị tập huấn, vận động toàn dân đoàn kết xây dựng đô thị văn minh (theo Thông tư số 121/2017/TT - BTC)</t>
  </si>
  <si>
    <t>Các hội xã hội và Hoạt động tổ chức ngày đại đoàn kết</t>
  </si>
  <si>
    <t>Chi mua sắm, sửa chữa tài sản (Sửa ô tô, mau sắm thiết bị tài sản phát sinh trong năm)</t>
  </si>
  <si>
    <t>Dự phòng</t>
  </si>
  <si>
    <t>Chi đầu tư phát triển  (Có phụ biểu chi
 tiết kèm theo)</t>
  </si>
  <si>
    <t>Phụ cấp hưu xã 130 (3.734.000 * 25 người )</t>
  </si>
  <si>
    <t>BTYT hưu xã 130 (25 người )</t>
  </si>
  <si>
    <t>Trợ cấp thường xuyên BTXH  (Đối tượng hưởng theo NQ 182/2025/NQ-HĐND, QĐ số 20/2021/QĐ-CP, NĐ số 176/2025/NĐ-CP .</t>
  </si>
  <si>
    <t>Trợ cấp mai táng phí cho các đối năm 2026</t>
  </si>
  <si>
    <t>Kinh phí  để lại điều chỉnh tăng giảm trợ cấp thường xuyên BTXH  trong  năm cho đối tượng hưởng theo NQ 182/2025/NQ-HĐND, QĐ số 20/2021/QĐ-CP, NĐ số 176/2025/NĐ-CP .</t>
  </si>
  <si>
    <t>Kinh phí để lại điều chỉnh tăng giảm chính sách trong năm cho đối tượng chế độ ưu đãi NCC với cách mạng, người trực tiếp tham gia kháng chiến.</t>
  </si>
  <si>
    <t>Lương và các khoản phụ cấp có tính chất theo lương (Hệ số 190,91 *2.340 *12T)</t>
  </si>
  <si>
    <t>Các khoản đóng góp 'BHXH + BHYT ( Hệ số 145.04 *2.340*20,5%*12T)</t>
  </si>
  <si>
    <t>Phụ cấp đại biểu HĐND (19 người * hệ số 0,3 *2.340*9T) + (52 người *0,3* 2.340*3T)</t>
  </si>
  <si>
    <t xml:space="preserve">Bảo hiểm y tế đại biểu HĐND </t>
  </si>
  <si>
    <t>Phụ cấp Tổ trưởng TDP loại 1</t>
  </si>
  <si>
    <t>Phụ cấp Tổ trưởng TDP loại 2</t>
  </si>
  <si>
    <t>Phụ cấp cán bộ kiểm soát đầu mối thủ tục hành chính</t>
  </si>
  <si>
    <t xml:space="preserve">Chi phí khen thưởng </t>
  </si>
  <si>
    <t>Chi công tác tôn giáo</t>
  </si>
  <si>
    <t>Chi phí chuyển đổi số, trang thông tin</t>
  </si>
  <si>
    <t>Chi hoạt động khác của Văn phòng HĐND- UBND (Ban thường vụ; Ban chấp hành; khen thưởng; chi khác…)</t>
  </si>
  <si>
    <t xml:space="preserve">Hoạt động HĐND phường </t>
  </si>
  <si>
    <t>Hoạt động bầu cử đại biểu HĐND các cấp nhiệm kỳ 2026 -2031</t>
  </si>
  <si>
    <t>Các khoản đóng góp 'BHXH + BHYT ( hệ số 145.04*2340.000*20.5%*12T)</t>
  </si>
  <si>
    <t>Phụ cấp UBKT 5 người * 0.2 * 2.340 * 12 T</t>
  </si>
  <si>
    <t>Phụ cấp báo cáo viên (5 người *0,2*2.340*12T)</t>
  </si>
  <si>
    <t>Kinh phí hoạt động cấp ủy, các Ban chỉ đạo; Ban thường vụ; Ban chấp hành; khen thưởng; chi khác…</t>
  </si>
  <si>
    <t>Lương và các khoản phụ cấp có tính chất theo lương (hệ số 44,54 *2.340*12T)</t>
  </si>
  <si>
    <t>Tiền thưởng (theo NĐ 73/2024) (bao gồm MTTQ và và các Tổ chức CTXH)</t>
  </si>
  <si>
    <t>Kinh phí hoạt theo định mức (bao gồm MTTQ và các Tổ chức CTXH)</t>
  </si>
  <si>
    <t>Mặt trận Tổ quốc và các tổ chức chính trị xã hội (Hoạt động thường xuyên; Ban thường vụ; Ban chấp hành; khen thưởng; chi khác...)</t>
  </si>
  <si>
    <t>Chi khác ngân sách</t>
  </si>
  <si>
    <t>Tổng cộng</t>
  </si>
  <si>
    <t>Công trình hạ tầng kỹ thuật</t>
  </si>
  <si>
    <t>Xây dựng Tuyến ngõ 162, đường Lê Thái Tổ, tổ dân phố Tân Phong</t>
  </si>
  <si>
    <t>Xây dựng Tuyến ngõ 896 đường Lê Thái Tổ, tổ dân phố Liên Giang</t>
  </si>
  <si>
    <t>Xây dựng Tuyến đường trục chính tổ dân phố Long Sơn (điểm đầu từ đường 60m)</t>
  </si>
  <si>
    <t>Xây dựng Tuyến đường trục chính tổ dân phố Bắc Phong</t>
  </si>
  <si>
    <t>Sửa chưa tuyến đường Trường Chinh</t>
  </si>
  <si>
    <t>Xây dựng, chỉnh trang các tuyến đường văn minh đô thị trên địa bàn 16 tổ dân phố để đáp ứng tiêu chuẩn xây dựng phường Văn minh đô thị; Đầu tư làm mới  các tuyến đường điện chiếu sáng trục chính phường Vũng Áng và tu sửa Trụ sở Ban chỉ huy quân sự phường,... (phân bổ sau)</t>
  </si>
  <si>
    <t>Lĩnh vực giáo dục</t>
  </si>
  <si>
    <t>Xây mới dãy nhà 02 tầng 6 phòng Trường Mầm non Kỳ Long và các hạng mục phụ trợ</t>
  </si>
  <si>
    <t>Chỉnh trang khuôn viên, trụ sở</t>
  </si>
  <si>
    <t>Cải tạo sửa chữa 02 khuông viên trụ sở công an phường</t>
  </si>
  <si>
    <t>Chỉnh trang một số hạng mục khuôn viên trụ sở UBND phường</t>
  </si>
  <si>
    <t>Hệ thống điện chiếu sáng</t>
  </si>
  <si>
    <t>UBND phường Vũng Áng</t>
  </si>
  <si>
    <t>Phương án hỗ trợ xi măng, hỗ trợ vật tư khác</t>
  </si>
  <si>
    <t>Phương án hỗ trợ nâng cấp phục hồi mặt đường</t>
  </si>
  <si>
    <t>Hỗ trợ các công trình bão lụt, giảm nhẹ thiên tai, kênh mương nội đồng</t>
  </si>
  <si>
    <t>Dự phòng hụt thu tiền sử dụng đất</t>
  </si>
  <si>
    <t>Trả nợ XDCB cho các công trình</t>
  </si>
  <si>
    <t xml:space="preserve">           HỘI ĐỒNG NHÂN DÂN PHƯỜNG VŨNG ÁNG</t>
  </si>
  <si>
    <t xml:space="preserve">                                                                       HỘI ĐỒNG NHÂN DÂN PHƯỜNG VŨNG ÁNG</t>
  </si>
  <si>
    <t>Chi thường xuyên phân bổ theo định mức</t>
  </si>
  <si>
    <t xml:space="preserve">Quỹ tiền thưởng theo NĐ73 </t>
  </si>
  <si>
    <t xml:space="preserve">Nguồn CCTL đảm bảo, cấp bù học phí trẻ khuyết tật,chi phí học tập giáo viên dạy trẻ khuyết tật và
 chi phí khác </t>
  </si>
  <si>
    <t>Cấp bù học phí trẻ khuyết tật,chi phí học tập giáo viên dạy trẻ khuyết tật và chi phí khác</t>
  </si>
  <si>
    <t>Chi phí nâng cấp sữa chữa trường tiểu học Tây yên</t>
  </si>
  <si>
    <t>Tổng cộng (I+II+III+IV + V)</t>
  </si>
  <si>
    <t>HÔI ĐỒNG NHÂN DÂN PHƯỜNG VŨNG ÁNG</t>
  </si>
  <si>
    <t>Dự toán năm 2025</t>
  </si>
  <si>
    <t>Dự toán 
năm 2026</t>
  </si>
  <si>
    <t xml:space="preserve">                      HỘI ĐỒNG NHÂN DÂN PHƯỜNG VŨNG ÁNG</t>
  </si>
  <si>
    <t>Tương đối (%)</t>
  </si>
  <si>
    <t>Chi đầu tư phát triển nguồn mục tiêu khác và 
nguồn hợp pháp khác</t>
  </si>
  <si>
    <t xml:space="preserve">                                                                   HỘI ĐỒNG NHÂN DÂN PHƯỜNG VŨNG ÁNG</t>
  </si>
  <si>
    <t>CÂN ĐỐI NGÂN SÁCH PHƯỜNG NĂM 2026</t>
  </si>
  <si>
    <t>DỰ TOÁN CHI NGÂN SÁCH CẤP PHƯỜNG THEO CƠ CẤU CHI NĂM 2026</t>
  </si>
  <si>
    <t>DỰ TOÁN CHI NGÂN SÁCH CẤP PHƯỜNG THEO TỪNG LĨNH VỰC NĂM 2026</t>
  </si>
  <si>
    <t>Chi các hoạt động chính sách khác của trường:
 (Gồm các khoản: Nâng lương; tiền ăn trưa của 
trẻ 3,4,5 tuổi, chính sách cho học sinh theo
 NĐ 238/2025/NĐ-CP; hỗ trợ học sinh khuyết 
tật theo TTLT số 42, phụ cấp thể dục, hợp đồng
 giáo viên theo NĐ 111/2022/NĐ-CP, KP giáo 
viên dạy học sinh khuyết tật, Trung tâm học tập cộng đồng).</t>
  </si>
  <si>
    <t>Xây dựng Tuyến ngõ 162, đường Lê Thái
 Tổ, tổ dân phố Tân Phong</t>
  </si>
  <si>
    <t xml:space="preserve">Trả nợ XDCB cho các công trình đường GT </t>
  </si>
  <si>
    <t>DỰ TOÁN CHI THƯỜNG XUYÊN CỦA NGÂN SÁCH CẤP PHƯỜNG CHO TỪNG CƠ QUAN, TỔ CHỨC THEO LĨNH VỰC NĂM 2026</t>
  </si>
  <si>
    <t>SỰ NGHIỆP THỊ CHÍNH VÀ SỰ NGHIỆP KINH TẾ KHÁC</t>
  </si>
  <si>
    <t>Chi các hoạt động chính sách khác của trường:(Gồm các khoản: Nâng lương; tiền ăn trưa của trẻ 3,4,5 tuổi, chính sách cho học sinh theo NĐ 238/2025/NĐ-CP; hỗ trợ học sinh khuyết tật theo TTLT số 42, phụ cấp thể dục, hợp đồng giáo viên theo NĐ 111/2022/NĐ-CP, KP giáo viên dạy học sinh khuyết tật, Trung tâm học tập cộng đồng).</t>
  </si>
  <si>
    <t>40% học phí</t>
  </si>
  <si>
    <t>14=5-10</t>
  </si>
  <si>
    <t xml:space="preserve">Chi phí quản lý nuôi dưỡng nguồn thu  </t>
  </si>
  <si>
    <t>Dự toán còn lại thực hiện</t>
  </si>
  <si>
    <t xml:space="preserve">Dự toán Ngân sách giao năm 2026 </t>
  </si>
  <si>
    <t>Tiết kiệm 10% dự toán chi TX để CCTL và tiết kiệm chi 10% để bổ sung nguồn chi An sinh Xã hội</t>
  </si>
  <si>
    <t>CHI TẠO NGUỒN, ĐIỀU CHỈNH TIỀN LƯƠNG</t>
  </si>
  <si>
    <t>Ngân sách cấp xã</t>
  </si>
  <si>
    <t>Ngân sách cấp tỉnh</t>
  </si>
  <si>
    <t>Ngân sách TW</t>
  </si>
  <si>
    <t>Tổng thu ngân sách Nhà nước tỉnh giao</t>
  </si>
  <si>
    <t>Tổng thu ngân sách Nhà nước phường giao</t>
  </si>
  <si>
    <t xml:space="preserve">    PHỤ LỤC 01</t>
  </si>
  <si>
    <t>PHỤ LỤC 02</t>
  </si>
  <si>
    <t>PHỤ LỤC 04</t>
  </si>
  <si>
    <t>Cải tạo sửa chữa 02 khuôn viên trụ sở công an phường</t>
  </si>
  <si>
    <t>Hỗ trợ xi măng, hỗ trợ vật tư khác</t>
  </si>
  <si>
    <t>Đơn vị tính: Triệu đồng</t>
  </si>
  <si>
    <t>Tên công việc</t>
  </si>
  <si>
    <t>Nội dung thực hiện</t>
  </si>
  <si>
    <t>Quyết định đầu tư</t>
  </si>
  <si>
    <t>Lũy kế vốn đã bố trí đến hết năm 2025</t>
  </si>
  <si>
    <t xml:space="preserve">Tổng Diện tích (m2) </t>
  </si>
  <si>
    <t>Ktoan</t>
  </si>
  <si>
    <t>Rộng</t>
  </si>
  <si>
    <t>TMĐT</t>
  </si>
  <si>
    <t>Nâng cấp, sữa chữa tuyến đường trục chính TDP Tân Phong với chiều dài 425,99m, mặt đường bê tông hiện trạng 5m, nền đường hiện trạng bình quân 8m, có một số điểm 6,5m; Phương án: làm mới hệ thống mương thoát nước 40x50cm hai bên tuyến đường có nắp tấm đan; nền đường yêu cầu GPMB 9m; đối với phạm vi mở rộng thực hiện cải tạo nền đường bằng cấp phối đá dăm loại 1, sau đó thảm nhựa toàn bộ mặt đường dày 5cm</t>
  </si>
  <si>
    <t>Nâng cấp, sữa chữa tuyến ngõ 896 tdp Liên Giang với chiều dài 200 m, mặt, nền đường bê tông hiện trạng điểm đầu tuyến 4,3m; nền đường hiện trạng bình quân 6m, có một số điểm 5,5m ; Phương án: làm mới hệ thống mương thoát nước 40x50cm hai bên tuyến đường có nắp tấm đan; nền đường yêu cầu GPMB 7m; đối với phạm vi mở rộng thực hiện cải tạo nền đường bằng cấp phối đá dăm loại 1, sau đó thảm nhựa toàn bộ mặt đường dày 5cm</t>
  </si>
  <si>
    <t>Nâng cấp, sữa chữa tuyến đường trục chính tdp Long Sơn với chiều dài 600m, mặt đường bê tông hiện trạng 5m có 2 mương dọc 2 bên, nền đường hiện trạng bình quân 8m, có một số điểm 7m có 1 điểm 6,3m ; Phương án: làm mới hệ thống mương thoát nước 40x50cm hai bên tuyến đường có nắp tấm đan; nền đường yêu cầu GPMB 9m; đối với phạm vi mở rộng thực hiện cải tạo nền đường bằng cấp phối đá dăm loại 1, sau đó thảm nhựa toàn bộ mặt đường dày 5cm</t>
  </si>
  <si>
    <t>Nâng cấp, sữa chữa tuyến đường trục chính tdp Bắc Phong với chiều dài 450m, mặt đường bê tông hiện trạng 3,5m, nền đường hiện trạng bình quân 5-5,5m, hiện trạng hàng rào thô sơ; Phương án: làm mới hệ thống mương thoát nước 40x50cm hai bên tuyến đường có nắp tấm đan; nền đường yêu cầu GPMB 9m; đối với phạm vi mở rộng thực hiện cải tạo nền đường bằng cấp phối đá dăm loại 1, sau đó thảm nhựa toàn bộ mặt đường dày 5cm</t>
  </si>
  <si>
    <t>Tuyến đường Trường Chinh dài 2,6 km đã xuất hiện nhiều hư hỏng mặt đường, cống, rãnh thoát nước; đặc biệt tại 2 điểm đọng nước làm phá vỡ kết cấu đường</t>
  </si>
  <si>
    <t xml:space="preserve">Hiện nay, nhu cầu xây dựng các tuyến đường Văn minh đô thị là rất lớn do vậy cần đầu tư để xây dựng phường đạt chuẩn Văn minh đô thị </t>
  </si>
  <si>
    <t>UBND phường Vũng Áng (Phân bổ sau)</t>
  </si>
  <si>
    <t>Theo quy hoạch dãy nhà 2 tầng 6 phòng yêu cầu phải có, tuy nhiên đến nay chưa được đầu tư xây dựng. Các phòng học hiện trạng không đảm bảo tiêu chuẩn theo quy định</t>
  </si>
  <si>
    <t>Sửa chữa mái, nền và một số hư hỏng của 02 trụ sở nhà làm việc công an phường</t>
  </si>
  <si>
    <t>Xây dựng nhà để xe, cải tạo sửa chữa phòng họp và một số hạng mục khác</t>
  </si>
  <si>
    <t>Sữa chữa hệ thống điện chiếu sáng đường 1A và hệ thống cổng chào, bảng điện tữ quảng cáo bị hư hỏng do bảo số 5 và số 10 năm 2025</t>
  </si>
  <si>
    <t xml:space="preserve">Trả nợ cũ, hỗ trợ theo cơ chế xi măng, nâng cấp phục hồi mặt đường, lập các quy hoạch, kênh mương, dự phòng </t>
  </si>
  <si>
    <t>Hỗ trợ nâng cấp phục hồi mặt đường</t>
  </si>
  <si>
    <t>Lập quy hoạch sử dụng đất, quy hoạch xây dựng</t>
  </si>
  <si>
    <t>PHỤ BIỂU 03</t>
  </si>
  <si>
    <t xml:space="preserve"> CHI TIẾT BỐ TRÍ VỐN ĐẦU TƯ PHÁT TRIỂN NĂM 2026</t>
  </si>
  <si>
    <t>Phụ cấp BCH Đảng ủy 25 người * 0.3 *2.340 *12 T</t>
  </si>
  <si>
    <t>Hỗ trợ mua phần mềm kế toán Misa</t>
  </si>
  <si>
    <t>Chi mua phần mềm kế toán Misa</t>
  </si>
  <si>
    <t>Tu sửa lắp đặt thay thế hệ thống điện chiếu sáng cổng chào đèn Led các trục đường chính (do bão số 5 và bão số 10 làm hư hỏng)</t>
  </si>
  <si>
    <t xml:space="preserve">So sánh </t>
  </si>
  <si>
    <t>Tu sửa lắp đạt thay thế hệ thống điện chiếu sáng cổng chào đèn Led các trục đường chính (do bão số 5 và bão số 10 làm hư hỏng)</t>
  </si>
  <si>
    <t>(Ban hành kèm theo Nghị quyết số 19/NQ-HĐND ngày 29/12/2025 của HĐND phường Vũng Áng)</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</si>
</sst>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0_);_(* \(#,##0\);_(* &quot;-&quot;??_);_(@_)"/>
    <numFmt numFmtId="166" formatCode="0.0"/>
    <numFmt numFmtId="167" formatCode="_-* #.##0.00_-;\-* #.##0.00_-;_-* &quot;-&quot;??_-;_-@_-"/>
    <numFmt numFmtId="168" formatCode="_-* #,##0_-;\-* #,##0_-;_-* &quot;-&quot;??_-;_-@_-"/>
    <numFmt numFmtId="169" formatCode="_-* #.00.;\-* #.00.;_-* &quot;-&quot;??_-;_-@_ⴆ"/>
    <numFmt numFmtId="170" formatCode="_-* #,##0.000_-;\-* #,##0.000_-;_-* &quot;-&quot;??_-;_-@_-"/>
    <numFmt numFmtId="171" formatCode="_(* #,##0.000_);_(* \(#,##0.000\);_(* &quot;-&quot;??_);_(@_)"/>
  </numFmts>
  <fonts count="43" x14ac:knownFonts="1">
    <font>
      <sz val="11"/>
      <color theme="1"/>
      <name val="Calibri"/>
      <family val="2"/>
      <scheme val="minor"/>
    </font>
    <font>
      <sz val="11"/>
      <color theme="1"/>
      <name val="Calibri"/>
      <family val="2"/>
      <scheme val="minor"/>
    </font>
    <font>
      <b/>
      <sz val="10"/>
      <name val="Times New Roman"/>
      <family val="1"/>
    </font>
    <font>
      <b/>
      <sz val="12"/>
      <name val="Times New Roman"/>
      <family val="1"/>
    </font>
    <font>
      <sz val="12"/>
      <name val="Times New Roman"/>
      <family val="1"/>
    </font>
    <font>
      <sz val="11"/>
      <name val="Times New Roman"/>
      <family val="1"/>
    </font>
    <font>
      <b/>
      <sz val="11"/>
      <name val="Times New Roman"/>
      <family val="1"/>
    </font>
    <font>
      <i/>
      <sz val="12"/>
      <name val="Times New Roman"/>
      <family val="1"/>
    </font>
    <font>
      <sz val="10"/>
      <name val="Times New Roman"/>
      <family val="1"/>
    </font>
    <font>
      <b/>
      <sz val="13"/>
      <name val="Times New Roman"/>
      <family val="1"/>
    </font>
    <font>
      <i/>
      <sz val="13"/>
      <name val="Times New Roman"/>
      <family val="1"/>
    </font>
    <font>
      <sz val="11"/>
      <color theme="1"/>
      <name val="Times New Roman"/>
      <family val="1"/>
    </font>
    <font>
      <b/>
      <sz val="11"/>
      <color theme="1"/>
      <name val="Times New Roman"/>
      <family val="1"/>
    </font>
    <font>
      <i/>
      <sz val="11"/>
      <color theme="1"/>
      <name val="Times New Roman"/>
      <family val="1"/>
    </font>
    <font>
      <sz val="11"/>
      <color theme="1"/>
      <name val="Calibri"/>
      <family val="2"/>
      <charset val="163"/>
      <scheme val="minor"/>
    </font>
    <font>
      <sz val="10"/>
      <color theme="1"/>
      <name val="Times New Roman"/>
      <family val="1"/>
    </font>
    <font>
      <b/>
      <sz val="10"/>
      <color theme="1"/>
      <name val="Times New Roman"/>
      <family val="1"/>
    </font>
    <font>
      <sz val="10"/>
      <color theme="1"/>
      <name val="Calibri"/>
      <family val="2"/>
      <scheme val="minor"/>
    </font>
    <font>
      <b/>
      <sz val="9"/>
      <color theme="1"/>
      <name val="Times New Roman"/>
      <family val="1"/>
    </font>
    <font>
      <i/>
      <sz val="10"/>
      <name val="Times New Roman"/>
      <family val="1"/>
    </font>
    <font>
      <sz val="10"/>
      <color rgb="FFFF0000"/>
      <name val="Times New Roman"/>
      <family val="1"/>
    </font>
    <font>
      <sz val="11"/>
      <color indexed="8"/>
      <name val="Times New Roman"/>
      <family val="1"/>
    </font>
    <font>
      <b/>
      <sz val="11"/>
      <color indexed="8"/>
      <name val="Times New Roman"/>
      <family val="1"/>
    </font>
    <font>
      <i/>
      <sz val="11"/>
      <color indexed="8"/>
      <name val="Times New Roman"/>
      <family val="1"/>
    </font>
    <font>
      <b/>
      <sz val="9"/>
      <color indexed="8"/>
      <name val="Times New Roman"/>
      <family val="1"/>
    </font>
    <font>
      <i/>
      <sz val="8"/>
      <color indexed="8"/>
      <name val="Times New Roman"/>
      <family val="1"/>
    </font>
    <font>
      <sz val="9"/>
      <color theme="1"/>
      <name val="Times New Roman"/>
      <family val="1"/>
    </font>
    <font>
      <sz val="9"/>
      <color indexed="8"/>
      <name val="Times New Roman"/>
      <family val="1"/>
    </font>
    <font>
      <sz val="13"/>
      <name val="Times New Roman"/>
      <family val="1"/>
    </font>
    <font>
      <sz val="12"/>
      <color theme="1"/>
      <name val="Times New Roman"/>
      <family val="1"/>
    </font>
    <font>
      <i/>
      <sz val="11"/>
      <color theme="1"/>
      <name val="Calibri"/>
      <family val="2"/>
      <scheme val="minor"/>
    </font>
    <font>
      <b/>
      <sz val="8"/>
      <color theme="1"/>
      <name val="Times New Roman"/>
      <family val="1"/>
    </font>
    <font>
      <sz val="10"/>
      <color rgb="FFC00000"/>
      <name val="Times New Roman"/>
      <family val="1"/>
    </font>
    <font>
      <b/>
      <sz val="11"/>
      <color rgb="FF000000"/>
      <name val="Times New Roman"/>
      <family val="1"/>
    </font>
    <font>
      <b/>
      <sz val="14"/>
      <name val="Times New Roman"/>
      <family val="1"/>
    </font>
    <font>
      <sz val="14"/>
      <name val="Cambria"/>
      <family val="1"/>
      <charset val="163"/>
      <scheme val="major"/>
    </font>
    <font>
      <i/>
      <sz val="14"/>
      <name val="Times New Roman"/>
      <family val="1"/>
    </font>
    <font>
      <sz val="14"/>
      <name val="Times New Roman"/>
      <family val="1"/>
    </font>
    <font>
      <b/>
      <sz val="12"/>
      <name val="Cambria"/>
      <family val="1"/>
      <charset val="163"/>
      <scheme val="major"/>
    </font>
    <font>
      <b/>
      <i/>
      <sz val="12"/>
      <name val="Times New Roman"/>
      <family val="1"/>
    </font>
    <font>
      <sz val="12"/>
      <name val="Cambria"/>
      <family val="1"/>
      <charset val="163"/>
      <scheme val="major"/>
    </font>
    <font>
      <b/>
      <i/>
      <sz val="12"/>
      <name val="Cambria"/>
      <family val="1"/>
      <charset val="163"/>
      <scheme val="major"/>
    </font>
    <font>
      <i/>
      <sz val="12"/>
      <name val="Cambria"/>
      <family val="1"/>
      <charset val="163"/>
      <scheme val="major"/>
    </font>
  </fonts>
  <fills count="4">
    <fill>
      <patternFill patternType="none"/>
    </fill>
    <fill>
      <patternFill patternType="gray125"/>
    </fill>
    <fill>
      <patternFill patternType="solid">
        <fgColor theme="0"/>
        <bgColor indexed="64"/>
      </patternFill>
    </fill>
    <fill>
      <patternFill patternType="solid">
        <fgColor theme="0"/>
        <bgColor indexed="0"/>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0" fontId="1" fillId="0" borderId="0"/>
    <xf numFmtId="3" fontId="4" fillId="0" borderId="0">
      <alignment vertical="center" wrapText="1"/>
    </xf>
    <xf numFmtId="3" fontId="4" fillId="0" borderId="0">
      <alignment vertical="center" wrapText="1"/>
    </xf>
    <xf numFmtId="0" fontId="1" fillId="0" borderId="0"/>
    <xf numFmtId="0" fontId="14" fillId="0" borderId="0"/>
    <xf numFmtId="0" fontId="1" fillId="0" borderId="0"/>
  </cellStyleXfs>
  <cellXfs count="299">
    <xf numFmtId="0" fontId="0" fillId="0" borderId="0" xfId="0"/>
    <xf numFmtId="0" fontId="11" fillId="0" borderId="0" xfId="0" applyFont="1"/>
    <xf numFmtId="0" fontId="11" fillId="0" borderId="1" xfId="0" applyFont="1" applyBorder="1"/>
    <xf numFmtId="0" fontId="11" fillId="0" borderId="1" xfId="0" applyFont="1" applyBorder="1" applyAlignment="1">
      <alignment wrapText="1"/>
    </xf>
    <xf numFmtId="0" fontId="11" fillId="0" borderId="0" xfId="0" applyFont="1" applyAlignment="1">
      <alignment horizontal="center"/>
    </xf>
    <xf numFmtId="0" fontId="11" fillId="0" borderId="1" xfId="0" applyFont="1" applyBorder="1" applyAlignment="1">
      <alignment horizontal="center"/>
    </xf>
    <xf numFmtId="0" fontId="12" fillId="0" borderId="1" xfId="0" applyFont="1" applyBorder="1" applyAlignment="1">
      <alignment horizontal="center"/>
    </xf>
    <xf numFmtId="0" fontId="12" fillId="0" borderId="1" xfId="0" applyFont="1" applyBorder="1"/>
    <xf numFmtId="0" fontId="12" fillId="0" borderId="1" xfId="0" applyFont="1" applyBorder="1" applyAlignment="1">
      <alignment wrapText="1"/>
    </xf>
    <xf numFmtId="0" fontId="12" fillId="0" borderId="0" xfId="0" applyFont="1"/>
    <xf numFmtId="0" fontId="15" fillId="0" borderId="1" xfId="0" applyFont="1" applyBorder="1"/>
    <xf numFmtId="0" fontId="15" fillId="0" borderId="1" xfId="0" applyFont="1" applyBorder="1" applyAlignment="1">
      <alignment wrapText="1"/>
    </xf>
    <xf numFmtId="0" fontId="16" fillId="0" borderId="1" xfId="0" applyFont="1" applyBorder="1" applyAlignment="1">
      <alignment wrapText="1"/>
    </xf>
    <xf numFmtId="0" fontId="17" fillId="0" borderId="0" xfId="0" applyFont="1"/>
    <xf numFmtId="0" fontId="15" fillId="0" borderId="1" xfId="0" applyFont="1" applyBorder="1" applyAlignment="1">
      <alignment horizontal="center"/>
    </xf>
    <xf numFmtId="3" fontId="11" fillId="0" borderId="1" xfId="0" applyNumberFormat="1" applyFont="1" applyBorder="1"/>
    <xf numFmtId="3" fontId="12" fillId="0" borderId="1" xfId="0" applyNumberFormat="1" applyFont="1" applyBorder="1"/>
    <xf numFmtId="2" fontId="12" fillId="0" borderId="1" xfId="0" applyNumberFormat="1" applyFont="1" applyBorder="1"/>
    <xf numFmtId="2" fontId="11" fillId="0" borderId="1" xfId="0" applyNumberFormat="1" applyFont="1" applyBorder="1"/>
    <xf numFmtId="3" fontId="0" fillId="0" borderId="0" xfId="0" applyNumberFormat="1"/>
    <xf numFmtId="0" fontId="12" fillId="0" borderId="1" xfId="0" applyFont="1" applyBorder="1" applyAlignment="1">
      <alignment horizontal="left"/>
    </xf>
    <xf numFmtId="0" fontId="18" fillId="0" borderId="1" xfId="0" applyFont="1" applyBorder="1"/>
    <xf numFmtId="0" fontId="16" fillId="0" borderId="1" xfId="0" applyFont="1" applyBorder="1"/>
    <xf numFmtId="3" fontId="18" fillId="0" borderId="1" xfId="0" applyNumberFormat="1" applyFont="1" applyBorder="1"/>
    <xf numFmtId="3" fontId="15" fillId="0" borderId="1" xfId="0" applyNumberFormat="1" applyFont="1" applyBorder="1"/>
    <xf numFmtId="0" fontId="15" fillId="0" borderId="1" xfId="0" applyFont="1" applyBorder="1" applyAlignment="1">
      <alignment horizontal="left"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1" fontId="9" fillId="0" borderId="0" xfId="4" applyNumberFormat="1" applyFont="1" applyAlignment="1">
      <alignment horizontal="center" vertical="center"/>
    </xf>
    <xf numFmtId="1" fontId="19" fillId="0" borderId="0" xfId="4" applyNumberFormat="1" applyFont="1" applyAlignment="1">
      <alignment horizontal="center" vertical="center"/>
    </xf>
    <xf numFmtId="0" fontId="2" fillId="2" borderId="4" xfId="0" applyFont="1" applyFill="1" applyBorder="1" applyAlignment="1">
      <alignment vertical="center" wrapText="1"/>
    </xf>
    <xf numFmtId="0" fontId="2" fillId="2" borderId="5" xfId="0" applyFont="1" applyFill="1" applyBorder="1" applyAlignment="1">
      <alignment horizontal="center" vertical="center" wrapText="1"/>
    </xf>
    <xf numFmtId="165" fontId="2" fillId="2" borderId="1" xfId="0" applyNumberFormat="1" applyFont="1" applyFill="1" applyBorder="1" applyAlignment="1">
      <alignment horizontal="right" vertical="center" wrapText="1"/>
    </xf>
    <xf numFmtId="3" fontId="2" fillId="0" borderId="1"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65" fontId="16" fillId="2" borderId="1" xfId="0" applyNumberFormat="1" applyFont="1" applyFill="1" applyBorder="1" applyAlignment="1">
      <alignment horizontal="right" vertical="center" wrapText="1"/>
    </xf>
    <xf numFmtId="0" fontId="8" fillId="2" borderId="1" xfId="0" applyFont="1" applyFill="1" applyBorder="1" applyAlignment="1">
      <alignment horizontal="center" vertical="center" wrapText="1"/>
    </xf>
    <xf numFmtId="3" fontId="8" fillId="2" borderId="1" xfId="0" applyNumberFormat="1" applyFont="1" applyFill="1" applyBorder="1" applyAlignment="1">
      <alignment vertical="center" wrapText="1"/>
    </xf>
    <xf numFmtId="165" fontId="15" fillId="2" borderId="1" xfId="1" applyNumberFormat="1" applyFont="1" applyFill="1" applyBorder="1" applyAlignment="1">
      <alignment horizontal="right" vertical="center" wrapText="1"/>
    </xf>
    <xf numFmtId="165" fontId="8" fillId="2" borderId="1" xfId="0" applyNumberFormat="1" applyFont="1" applyFill="1" applyBorder="1" applyAlignment="1">
      <alignment vertical="center" wrapText="1"/>
    </xf>
    <xf numFmtId="0" fontId="8" fillId="2" borderId="1" xfId="0" applyFont="1" applyFill="1" applyBorder="1" applyAlignment="1">
      <alignment horizontal="left" vertical="center" wrapText="1"/>
    </xf>
    <xf numFmtId="165" fontId="8" fillId="2" borderId="1" xfId="1" applyNumberFormat="1" applyFont="1" applyFill="1" applyBorder="1" applyAlignment="1">
      <alignment horizontal="right" vertical="center" wrapText="1"/>
    </xf>
    <xf numFmtId="0" fontId="8"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165" fontId="2" fillId="2" borderId="1" xfId="0" applyNumberFormat="1" applyFont="1" applyFill="1" applyBorder="1" applyAlignment="1">
      <alignment vertical="center" wrapText="1"/>
    </xf>
    <xf numFmtId="0" fontId="19" fillId="2" borderId="1" xfId="0" applyFont="1" applyFill="1" applyBorder="1" applyAlignment="1">
      <alignment horizontal="center" vertical="center" wrapText="1"/>
    </xf>
    <xf numFmtId="165" fontId="15" fillId="2" borderId="1" xfId="0" applyNumberFormat="1" applyFont="1" applyFill="1" applyBorder="1" applyAlignment="1">
      <alignment horizontal="right" vertical="center" wrapText="1"/>
    </xf>
    <xf numFmtId="165" fontId="15" fillId="2" borderId="1" xfId="0" applyNumberFormat="1" applyFont="1" applyFill="1" applyBorder="1" applyAlignment="1">
      <alignment vertical="center" wrapText="1"/>
    </xf>
    <xf numFmtId="3" fontId="2" fillId="2" borderId="1" xfId="0" applyNumberFormat="1" applyFont="1" applyFill="1" applyBorder="1" applyAlignment="1">
      <alignment vertical="center" wrapText="1"/>
    </xf>
    <xf numFmtId="166" fontId="2" fillId="2" borderId="1" xfId="0" applyNumberFormat="1" applyFont="1" applyFill="1" applyBorder="1" applyAlignment="1">
      <alignment horizontal="center" vertical="center" wrapText="1"/>
    </xf>
    <xf numFmtId="165" fontId="2" fillId="2" borderId="1" xfId="1" applyNumberFormat="1" applyFont="1" applyFill="1" applyBorder="1" applyAlignment="1">
      <alignment horizontal="right" vertical="center" wrapText="1"/>
    </xf>
    <xf numFmtId="0" fontId="2" fillId="2" borderId="1" xfId="0" applyFont="1" applyFill="1" applyBorder="1" applyAlignment="1">
      <alignment vertical="center" wrapText="1"/>
    </xf>
    <xf numFmtId="3" fontId="8" fillId="0" borderId="1" xfId="0" applyNumberFormat="1" applyFont="1" applyBorder="1" applyAlignment="1">
      <alignment horizontal="right" vertical="center"/>
    </xf>
    <xf numFmtId="0" fontId="8" fillId="2" borderId="1" xfId="0" applyFont="1" applyFill="1" applyBorder="1" applyAlignment="1">
      <alignment horizontal="center" vertical="center"/>
    </xf>
    <xf numFmtId="3" fontId="20" fillId="0" borderId="1" xfId="0" applyNumberFormat="1" applyFont="1" applyBorder="1" applyAlignment="1">
      <alignment horizontal="right" vertical="center"/>
    </xf>
    <xf numFmtId="3" fontId="2" fillId="2" borderId="1" xfId="0" applyNumberFormat="1" applyFont="1" applyFill="1" applyBorder="1" applyAlignment="1">
      <alignment horizontal="right" vertical="center"/>
    </xf>
    <xf numFmtId="0" fontId="8" fillId="2" borderId="1" xfId="0" applyFont="1" applyFill="1" applyBorder="1" applyAlignment="1">
      <alignment horizontal="center"/>
    </xf>
    <xf numFmtId="165" fontId="8" fillId="2" borderId="1" xfId="1" applyNumberFormat="1" applyFont="1" applyFill="1" applyBorder="1"/>
    <xf numFmtId="3" fontId="19" fillId="0" borderId="1" xfId="0" applyNumberFormat="1" applyFont="1" applyBorder="1" applyAlignment="1">
      <alignment horizontal="right" vertical="center"/>
    </xf>
    <xf numFmtId="165" fontId="19" fillId="0" borderId="2" xfId="1" applyNumberFormat="1" applyFont="1" applyFill="1" applyBorder="1" applyAlignment="1">
      <alignment horizontal="right"/>
    </xf>
    <xf numFmtId="3" fontId="6" fillId="0" borderId="1" xfId="0" applyNumberFormat="1" applyFont="1" applyBorder="1" applyAlignment="1">
      <alignment horizontal="right" vertical="center" wrapText="1"/>
    </xf>
    <xf numFmtId="0" fontId="21" fillId="0" borderId="0" xfId="7" applyFont="1" applyAlignment="1">
      <alignment vertical="center"/>
    </xf>
    <xf numFmtId="3" fontId="21" fillId="0" borderId="0" xfId="7" applyNumberFormat="1" applyFont="1" applyAlignment="1">
      <alignment vertical="center"/>
    </xf>
    <xf numFmtId="0" fontId="22" fillId="0" borderId="0" xfId="7" applyFont="1" applyAlignment="1">
      <alignment horizontal="center" vertical="center"/>
    </xf>
    <xf numFmtId="0" fontId="21" fillId="0" borderId="0" xfId="7" applyFont="1" applyAlignment="1">
      <alignment horizontal="center" vertical="center"/>
    </xf>
    <xf numFmtId="0" fontId="24" fillId="0" borderId="1" xfId="7" applyFont="1" applyBorder="1" applyAlignment="1">
      <alignment horizontal="center" vertical="center" wrapText="1"/>
    </xf>
    <xf numFmtId="3" fontId="24" fillId="0" borderId="1" xfId="7" applyNumberFormat="1" applyFont="1" applyBorder="1" applyAlignment="1">
      <alignment horizontal="center" vertical="center" wrapText="1"/>
    </xf>
    <xf numFmtId="0" fontId="25" fillId="0" borderId="1" xfId="7" applyFont="1" applyBorder="1" applyAlignment="1">
      <alignment horizontal="center" vertical="center" wrapText="1"/>
    </xf>
    <xf numFmtId="3" fontId="25" fillId="0" borderId="1" xfId="7"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3" fontId="24" fillId="0" borderId="1" xfId="7" applyNumberFormat="1" applyFont="1" applyBorder="1" applyAlignment="1">
      <alignment vertical="center" wrapText="1"/>
    </xf>
    <xf numFmtId="3" fontId="24" fillId="0" borderId="1" xfId="7" applyNumberFormat="1" applyFont="1" applyBorder="1" applyAlignment="1">
      <alignment horizontal="right"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vertical="center" wrapText="1"/>
    </xf>
    <xf numFmtId="3" fontId="26" fillId="2" borderId="1" xfId="0" applyNumberFormat="1" applyFont="1" applyFill="1" applyBorder="1" applyAlignment="1">
      <alignment vertical="center" wrapText="1"/>
    </xf>
    <xf numFmtId="3" fontId="27" fillId="0" borderId="1" xfId="7" applyNumberFormat="1" applyFont="1" applyBorder="1" applyAlignment="1">
      <alignment horizontal="right" vertical="center" wrapText="1"/>
    </xf>
    <xf numFmtId="3" fontId="18" fillId="2" borderId="1" xfId="0" applyNumberFormat="1" applyFont="1" applyFill="1" applyBorder="1" applyAlignment="1">
      <alignment vertical="center" wrapText="1"/>
    </xf>
    <xf numFmtId="0" fontId="24" fillId="0" borderId="1" xfId="7" applyFont="1" applyBorder="1" applyAlignment="1">
      <alignment horizontal="center" vertical="center"/>
    </xf>
    <xf numFmtId="0" fontId="24" fillId="0" borderId="1" xfId="7" applyFont="1" applyBorder="1" applyAlignment="1">
      <alignment vertical="center"/>
    </xf>
    <xf numFmtId="0" fontId="21" fillId="0" borderId="0" xfId="7" applyFont="1" applyAlignment="1">
      <alignment horizontal="center"/>
    </xf>
    <xf numFmtId="0" fontId="21" fillId="0" borderId="0" xfId="7" applyFont="1"/>
    <xf numFmtId="3" fontId="21" fillId="0" borderId="0" xfId="7" applyNumberFormat="1" applyFont="1"/>
    <xf numFmtId="3" fontId="21" fillId="0" borderId="0" xfId="7" applyNumberFormat="1" applyFont="1" applyAlignment="1">
      <alignment horizontal="center" wrapText="1"/>
    </xf>
    <xf numFmtId="0" fontId="3" fillId="0" borderId="0" xfId="0" applyFont="1" applyAlignment="1">
      <alignment horizontal="right" vertical="center"/>
    </xf>
    <xf numFmtId="0" fontId="4" fillId="0" borderId="0" xfId="0" applyFont="1"/>
    <xf numFmtId="0" fontId="7" fillId="0" borderId="0" xfId="0" applyFont="1" applyAlignment="1">
      <alignment horizontal="right" vertical="center"/>
    </xf>
    <xf numFmtId="3" fontId="3" fillId="2" borderId="1" xfId="0" applyNumberFormat="1" applyFont="1" applyFill="1" applyBorder="1" applyAlignment="1">
      <alignment horizontal="center" vertical="center"/>
    </xf>
    <xf numFmtId="0" fontId="3" fillId="3" borderId="1" xfId="0" applyFont="1" applyFill="1" applyBorder="1" applyAlignment="1" applyProtection="1">
      <alignment horizontal="left" vertical="center" wrapText="1" shrinkToFit="1"/>
      <protection locked="0"/>
    </xf>
    <xf numFmtId="3" fontId="3" fillId="2" borderId="1" xfId="0" applyNumberFormat="1" applyFont="1" applyFill="1" applyBorder="1" applyAlignment="1">
      <alignment horizontal="left" vertical="center"/>
    </xf>
    <xf numFmtId="3" fontId="4" fillId="2" borderId="1" xfId="0" applyNumberFormat="1" applyFont="1" applyFill="1" applyBorder="1" applyAlignment="1">
      <alignment horizontal="center" vertical="center"/>
    </xf>
    <xf numFmtId="3" fontId="4" fillId="2" borderId="1" xfId="0" applyNumberFormat="1" applyFont="1" applyFill="1" applyBorder="1" applyAlignment="1">
      <alignment horizontal="left" vertical="center"/>
    </xf>
    <xf numFmtId="0" fontId="3" fillId="3" borderId="1" xfId="0" applyFont="1" applyFill="1" applyBorder="1" applyAlignment="1" applyProtection="1">
      <alignment vertical="center" wrapText="1" shrinkToFit="1"/>
      <protection locked="0"/>
    </xf>
    <xf numFmtId="3" fontId="3" fillId="2" borderId="1" xfId="0" applyNumberFormat="1" applyFont="1" applyFill="1" applyBorder="1" applyAlignment="1">
      <alignment vertical="center"/>
    </xf>
    <xf numFmtId="3" fontId="3" fillId="2" borderId="1" xfId="0" quotePrefix="1" applyNumberFormat="1" applyFont="1" applyFill="1" applyBorder="1" applyAlignment="1">
      <alignment horizontal="center" vertical="center"/>
    </xf>
    <xf numFmtId="3" fontId="3" fillId="2" borderId="1" xfId="0" quotePrefix="1" applyNumberFormat="1" applyFont="1" applyFill="1" applyBorder="1" applyAlignment="1">
      <alignment vertical="center"/>
    </xf>
    <xf numFmtId="3" fontId="4" fillId="2" borderId="1" xfId="0" quotePrefix="1" applyNumberFormat="1" applyFont="1" applyFill="1" applyBorder="1" applyAlignment="1">
      <alignment horizontal="center" vertical="center"/>
    </xf>
    <xf numFmtId="3" fontId="4" fillId="2" borderId="1" xfId="0" quotePrefix="1" applyNumberFormat="1" applyFont="1" applyFill="1" applyBorder="1" applyAlignment="1">
      <alignment vertical="center" wrapText="1"/>
    </xf>
    <xf numFmtId="0" fontId="4" fillId="2" borderId="1" xfId="0" applyFont="1" applyFill="1" applyBorder="1" applyAlignment="1">
      <alignment vertical="center" wrapText="1"/>
    </xf>
    <xf numFmtId="3" fontId="4" fillId="2" borderId="1" xfId="0" quotePrefix="1" applyNumberFormat="1" applyFont="1" applyFill="1" applyBorder="1" applyAlignment="1">
      <alignment vertical="center"/>
    </xf>
    <xf numFmtId="0" fontId="4" fillId="3" borderId="1" xfId="0" applyFont="1" applyFill="1" applyBorder="1" applyAlignment="1" applyProtection="1">
      <alignment vertical="center" wrapText="1" shrinkToFit="1"/>
      <protection locked="0"/>
    </xf>
    <xf numFmtId="3" fontId="3" fillId="2" borderId="1" xfId="0" quotePrefix="1" applyNumberFormat="1" applyFont="1" applyFill="1" applyBorder="1" applyAlignment="1">
      <alignment vertical="center" wrapText="1"/>
    </xf>
    <xf numFmtId="0" fontId="3" fillId="3" borderId="1" xfId="0" applyFont="1" applyFill="1" applyBorder="1" applyAlignment="1" applyProtection="1">
      <alignment horizontal="center" vertical="center" wrapText="1" shrinkToFit="1"/>
      <protection locked="0"/>
    </xf>
    <xf numFmtId="0" fontId="4" fillId="3" borderId="1" xfId="0" applyFont="1" applyFill="1" applyBorder="1" applyAlignment="1" applyProtection="1">
      <alignment horizontal="center" vertical="center" wrapText="1" shrinkToFit="1"/>
      <protection locked="0"/>
    </xf>
    <xf numFmtId="0" fontId="4" fillId="3" borderId="1" xfId="0" quotePrefix="1" applyFont="1" applyFill="1" applyBorder="1" applyAlignment="1" applyProtection="1">
      <alignment horizontal="left" vertical="center" wrapText="1" shrinkToFit="1"/>
      <protection locked="0"/>
    </xf>
    <xf numFmtId="0" fontId="4" fillId="3" borderId="1" xfId="0" quotePrefix="1" applyFont="1" applyFill="1" applyBorder="1" applyAlignment="1" applyProtection="1">
      <alignment vertical="center" wrapText="1" shrinkToFit="1"/>
      <protection locked="0"/>
    </xf>
    <xf numFmtId="3" fontId="3" fillId="2" borderId="1" xfId="0" applyNumberFormat="1" applyFont="1" applyFill="1" applyBorder="1" applyAlignment="1">
      <alignment vertical="center" wrapText="1"/>
    </xf>
    <xf numFmtId="0" fontId="3" fillId="3" borderId="1" xfId="0" quotePrefix="1" applyFont="1" applyFill="1" applyBorder="1" applyAlignment="1" applyProtection="1">
      <alignment vertical="center" wrapText="1" shrinkToFit="1"/>
      <protection locked="0"/>
    </xf>
    <xf numFmtId="3" fontId="4" fillId="2" borderId="1" xfId="0" applyNumberFormat="1" applyFont="1" applyFill="1" applyBorder="1" applyAlignment="1">
      <alignment horizontal="left" vertical="center" wrapText="1"/>
    </xf>
    <xf numFmtId="165" fontId="28" fillId="2" borderId="1" xfId="1" applyNumberFormat="1" applyFont="1" applyFill="1" applyBorder="1" applyAlignment="1">
      <alignment horizontal="right" vertical="center" wrapText="1"/>
    </xf>
    <xf numFmtId="165" fontId="9" fillId="2" borderId="1" xfId="1"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165" fontId="3" fillId="0" borderId="1" xfId="1" applyNumberFormat="1" applyFont="1" applyFill="1" applyBorder="1" applyAlignment="1">
      <alignment horizontal="right" vertical="center" wrapText="1"/>
    </xf>
    <xf numFmtId="165" fontId="3" fillId="2" borderId="1" xfId="1" applyNumberFormat="1" applyFont="1" applyFill="1" applyBorder="1" applyAlignment="1">
      <alignment horizontal="right" vertical="center" wrapText="1"/>
    </xf>
    <xf numFmtId="165" fontId="4" fillId="2" borderId="1" xfId="1" applyNumberFormat="1" applyFont="1" applyFill="1" applyBorder="1" applyAlignment="1">
      <alignment horizontal="right" vertical="center" wrapText="1"/>
    </xf>
    <xf numFmtId="165" fontId="4" fillId="0" borderId="1" xfId="1" applyNumberFormat="1" applyFont="1" applyFill="1" applyBorder="1" applyAlignment="1">
      <alignment horizontal="right" vertical="center" wrapText="1"/>
    </xf>
    <xf numFmtId="165" fontId="4" fillId="0" borderId="1" xfId="1" applyNumberFormat="1" applyFont="1" applyFill="1" applyBorder="1" applyAlignment="1">
      <alignment horizontal="center" vertical="center" wrapText="1"/>
    </xf>
    <xf numFmtId="3" fontId="7" fillId="0" borderId="1" xfId="0" applyNumberFormat="1" applyFont="1" applyBorder="1" applyAlignment="1">
      <alignment horizontal="right" vertical="center" wrapText="1"/>
    </xf>
    <xf numFmtId="165" fontId="7" fillId="0" borderId="1" xfId="1" applyNumberFormat="1" applyFont="1" applyFill="1" applyBorder="1" applyAlignment="1">
      <alignment horizontal="center" vertical="center" wrapText="1"/>
    </xf>
    <xf numFmtId="165" fontId="4" fillId="0" borderId="1" xfId="1" applyNumberFormat="1" applyFont="1" applyFill="1" applyBorder="1" applyAlignment="1">
      <alignment horizontal="left" vertical="center" wrapText="1"/>
    </xf>
    <xf numFmtId="165" fontId="3" fillId="0" borderId="1" xfId="1" applyNumberFormat="1" applyFont="1" applyFill="1" applyBorder="1" applyAlignment="1">
      <alignment vertical="center" wrapText="1"/>
    </xf>
    <xf numFmtId="165" fontId="4" fillId="0" borderId="1" xfId="1" applyNumberFormat="1" applyFont="1" applyFill="1" applyBorder="1" applyAlignment="1">
      <alignment vertical="center" wrapText="1"/>
    </xf>
    <xf numFmtId="3" fontId="4" fillId="0" borderId="1" xfId="0" applyNumberFormat="1" applyFont="1" applyBorder="1" applyAlignment="1">
      <alignment vertical="center" wrapText="1"/>
    </xf>
    <xf numFmtId="165" fontId="29" fillId="0" borderId="1" xfId="1" applyNumberFormat="1" applyFont="1" applyFill="1" applyBorder="1" applyAlignment="1">
      <alignment horizontal="right" vertical="center" wrapText="1"/>
    </xf>
    <xf numFmtId="3" fontId="3" fillId="0" borderId="1" xfId="0" applyNumberFormat="1" applyFont="1" applyBorder="1" applyAlignment="1">
      <alignment vertical="center" wrapText="1"/>
    </xf>
    <xf numFmtId="165" fontId="4" fillId="0" borderId="6" xfId="1" applyNumberFormat="1" applyFont="1" applyFill="1" applyBorder="1" applyAlignment="1">
      <alignment horizontal="right" vertical="center" wrapText="1"/>
    </xf>
    <xf numFmtId="167" fontId="0" fillId="0" borderId="0" xfId="0" applyNumberFormat="1"/>
    <xf numFmtId="165" fontId="0" fillId="0" borderId="0" xfId="0" applyNumberFormat="1"/>
    <xf numFmtId="3" fontId="2" fillId="0" borderId="1" xfId="0" applyNumberFormat="1" applyFont="1" applyBorder="1" applyAlignment="1">
      <alignment horizontal="center" vertical="center" wrapText="1"/>
    </xf>
    <xf numFmtId="0" fontId="30" fillId="0" borderId="0" xfId="0" applyFont="1"/>
    <xf numFmtId="165" fontId="2" fillId="2" borderId="1" xfId="0" applyNumberFormat="1" applyFont="1" applyFill="1" applyBorder="1" applyAlignment="1">
      <alignment wrapText="1"/>
    </xf>
    <xf numFmtId="3" fontId="16" fillId="0" borderId="1" xfId="0" applyNumberFormat="1" applyFont="1" applyBorder="1" applyAlignment="1">
      <alignment vertical="center"/>
    </xf>
    <xf numFmtId="2" fontId="2" fillId="0" borderId="1" xfId="0" applyNumberFormat="1" applyFont="1" applyBorder="1" applyAlignment="1">
      <alignment horizontal="center" vertical="center" wrapText="1"/>
    </xf>
    <xf numFmtId="169" fontId="2" fillId="0" borderId="1" xfId="0" applyNumberFormat="1" applyFont="1" applyBorder="1" applyAlignment="1">
      <alignment horizontal="center" vertical="center" wrapText="1"/>
    </xf>
    <xf numFmtId="3" fontId="2" fillId="0" borderId="1" xfId="0" applyNumberFormat="1" applyFont="1" applyBorder="1" applyAlignment="1">
      <alignment horizontal="right" vertical="center" wrapText="1"/>
    </xf>
    <xf numFmtId="3" fontId="8" fillId="0" borderId="1" xfId="0" applyNumberFormat="1" applyFont="1" applyBorder="1" applyAlignment="1">
      <alignment horizontal="right" vertical="center" wrapText="1"/>
    </xf>
    <xf numFmtId="2" fontId="8" fillId="0" borderId="1" xfId="0" applyNumberFormat="1" applyFont="1" applyBorder="1" applyAlignment="1">
      <alignment horizontal="center" vertical="center" wrapText="1"/>
    </xf>
    <xf numFmtId="169" fontId="8" fillId="0" borderId="1" xfId="0" applyNumberFormat="1" applyFont="1" applyBorder="1" applyAlignment="1">
      <alignment horizontal="center" vertical="center" wrapText="1"/>
    </xf>
    <xf numFmtId="3" fontId="16" fillId="0" borderId="1" xfId="0" applyNumberFormat="1" applyFont="1" applyBorder="1" applyAlignment="1">
      <alignment horizontal="right" vertical="center" wrapText="1"/>
    </xf>
    <xf numFmtId="3" fontId="15" fillId="0" borderId="1" xfId="0" applyNumberFormat="1" applyFont="1" applyBorder="1" applyAlignment="1">
      <alignment horizontal="right" vertical="center" wrapText="1"/>
    </xf>
    <xf numFmtId="3" fontId="32" fillId="0" borderId="1" xfId="0" applyNumberFormat="1" applyFont="1" applyBorder="1" applyAlignment="1">
      <alignment horizontal="right" vertical="center" wrapText="1"/>
    </xf>
    <xf numFmtId="3" fontId="8" fillId="0" borderId="1" xfId="0" applyNumberFormat="1" applyFont="1" applyBorder="1"/>
    <xf numFmtId="0" fontId="8" fillId="0" borderId="1" xfId="0" applyFont="1" applyBorder="1"/>
    <xf numFmtId="3" fontId="2" fillId="0" borderId="4" xfId="0" applyNumberFormat="1" applyFont="1" applyBorder="1"/>
    <xf numFmtId="2" fontId="2" fillId="0" borderId="1" xfId="0" applyNumberFormat="1" applyFont="1" applyBorder="1" applyAlignment="1">
      <alignment horizontal="center" wrapText="1"/>
    </xf>
    <xf numFmtId="169" fontId="2" fillId="0" borderId="1" xfId="0" applyNumberFormat="1" applyFont="1" applyBorder="1" applyAlignment="1">
      <alignment horizontal="center" wrapText="1"/>
    </xf>
    <xf numFmtId="0" fontId="33" fillId="0" borderId="1" xfId="0" applyFont="1" applyBorder="1" applyAlignment="1">
      <alignment horizontal="center" vertical="center" wrapText="1"/>
    </xf>
    <xf numFmtId="165" fontId="16" fillId="2" borderId="1" xfId="0" applyNumberFormat="1" applyFont="1" applyFill="1" applyBorder="1" applyAlignment="1">
      <alignment vertical="center" wrapText="1"/>
    </xf>
    <xf numFmtId="3" fontId="11" fillId="0" borderId="1" xfId="0" applyNumberFormat="1" applyFont="1" applyBorder="1" applyAlignment="1">
      <alignment vertical="center"/>
    </xf>
    <xf numFmtId="0" fontId="11" fillId="0" borderId="1" xfId="0" applyFont="1" applyBorder="1" applyAlignment="1">
      <alignment horizontal="center" vertical="center"/>
    </xf>
    <xf numFmtId="3" fontId="15" fillId="0" borderId="1" xfId="0" applyNumberFormat="1" applyFont="1" applyBorder="1" applyAlignment="1">
      <alignment vertical="center"/>
    </xf>
    <xf numFmtId="0" fontId="11"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xf numFmtId="0" fontId="4" fillId="0" borderId="1" xfId="0"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15" fillId="0" borderId="1" xfId="0" applyFont="1" applyBorder="1" applyAlignment="1">
      <alignment horizontal="center" vertical="center"/>
    </xf>
    <xf numFmtId="0" fontId="18" fillId="0" borderId="1" xfId="0" applyFont="1" applyBorder="1" applyAlignment="1">
      <alignment horizontal="center" vertical="center" wrapText="1"/>
    </xf>
    <xf numFmtId="0" fontId="12" fillId="0" borderId="1" xfId="0" applyFont="1" applyBorder="1" applyAlignment="1">
      <alignment horizontal="center" vertical="center"/>
    </xf>
    <xf numFmtId="2" fontId="11" fillId="0" borderId="1" xfId="0" applyNumberFormat="1" applyFont="1" applyBorder="1" applyAlignment="1">
      <alignment vertical="center"/>
    </xf>
    <xf numFmtId="165" fontId="6" fillId="0" borderId="6" xfId="1" applyNumberFormat="1" applyFont="1" applyFill="1" applyBorder="1" applyAlignment="1">
      <alignment horizontal="center" vertical="center" wrapText="1"/>
    </xf>
    <xf numFmtId="3" fontId="26" fillId="0" borderId="1" xfId="0" applyNumberFormat="1" applyFont="1" applyBorder="1"/>
    <xf numFmtId="165" fontId="6" fillId="0" borderId="5" xfId="1" applyNumberFormat="1" applyFont="1" applyFill="1" applyBorder="1" applyAlignment="1">
      <alignment horizontal="center" vertical="center" wrapText="1"/>
    </xf>
    <xf numFmtId="3" fontId="5" fillId="0" borderId="1" xfId="0" applyNumberFormat="1" applyFont="1" applyBorder="1" applyAlignment="1">
      <alignment horizontal="right" vertical="center" wrapText="1"/>
    </xf>
    <xf numFmtId="165" fontId="3" fillId="0" borderId="1" xfId="1" applyNumberFormat="1" applyFont="1" applyFill="1" applyBorder="1" applyAlignment="1">
      <alignment horizontal="center" vertical="center" wrapText="1"/>
    </xf>
    <xf numFmtId="0" fontId="15" fillId="0" borderId="1" xfId="0" applyFont="1" applyBorder="1" applyAlignment="1">
      <alignment vertical="center"/>
    </xf>
    <xf numFmtId="165" fontId="8" fillId="2" borderId="1" xfId="0" applyNumberFormat="1" applyFont="1" applyFill="1" applyBorder="1" applyAlignment="1">
      <alignment horizontal="right" vertical="center" wrapText="1"/>
    </xf>
    <xf numFmtId="0" fontId="35" fillId="0" borderId="0" xfId="0" applyFont="1"/>
    <xf numFmtId="0" fontId="37" fillId="0" borderId="0" xfId="0" applyFont="1"/>
    <xf numFmtId="0" fontId="38" fillId="0" borderId="0" xfId="0" applyFont="1"/>
    <xf numFmtId="168" fontId="3" fillId="0" borderId="1" xfId="1" applyNumberFormat="1" applyFont="1" applyFill="1" applyBorder="1" applyAlignment="1">
      <alignment horizontal="center" vertical="center" wrapText="1"/>
    </xf>
    <xf numFmtId="170" fontId="9" fillId="0" borderId="1" xfId="1" applyNumberFormat="1" applyFont="1" applyFill="1" applyBorder="1" applyAlignment="1">
      <alignment vertical="center" wrapText="1"/>
    </xf>
    <xf numFmtId="0" fontId="7" fillId="0" borderId="1" xfId="0" applyFont="1" applyBorder="1" applyAlignment="1">
      <alignment horizontal="center" vertical="center" wrapText="1"/>
    </xf>
    <xf numFmtId="168" fontId="38" fillId="0" borderId="0" xfId="0" applyNumberFormat="1" applyFont="1"/>
    <xf numFmtId="0" fontId="3" fillId="0" borderId="1" xfId="0" applyFont="1" applyBorder="1" applyAlignment="1">
      <alignment horizontal="center"/>
    </xf>
    <xf numFmtId="168" fontId="3" fillId="0" borderId="1" xfId="0" applyNumberFormat="1" applyFont="1" applyBorder="1"/>
    <xf numFmtId="171" fontId="9" fillId="0" borderId="1" xfId="0" applyNumberFormat="1" applyFont="1" applyBorder="1"/>
    <xf numFmtId="0" fontId="39" fillId="0" borderId="1" xfId="0" applyFont="1" applyBorder="1" applyAlignment="1">
      <alignment horizontal="center"/>
    </xf>
    <xf numFmtId="0" fontId="4" fillId="0" borderId="1" xfId="0" applyFont="1" applyBorder="1" applyAlignment="1">
      <alignment horizontal="center" vertical="center" wrapText="1"/>
    </xf>
    <xf numFmtId="168"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71" fontId="28" fillId="0" borderId="1" xfId="0" applyNumberFormat="1" applyFont="1" applyBorder="1" applyAlignment="1">
      <alignment vertical="center" wrapText="1"/>
    </xf>
    <xf numFmtId="0" fontId="40" fillId="0" borderId="0" xfId="0" applyFont="1"/>
    <xf numFmtId="0" fontId="41" fillId="0" borderId="1" xfId="0" applyFont="1" applyBorder="1" applyAlignment="1">
      <alignment horizontal="center" vertical="center" wrapText="1"/>
    </xf>
    <xf numFmtId="0" fontId="41" fillId="0" borderId="0" xfId="0" applyFont="1" applyAlignment="1">
      <alignment horizontal="center" vertical="center" wrapText="1"/>
    </xf>
    <xf numFmtId="165" fontId="3" fillId="0" borderId="1" xfId="0" applyNumberFormat="1" applyFont="1" applyBorder="1"/>
    <xf numFmtId="0" fontId="7" fillId="0" borderId="1" xfId="0" applyFont="1" applyBorder="1" applyAlignment="1">
      <alignment horizontal="center"/>
    </xf>
    <xf numFmtId="171" fontId="28" fillId="0" borderId="1" xfId="1" applyNumberFormat="1" applyFont="1" applyFill="1" applyBorder="1" applyAlignment="1">
      <alignment vertical="center" wrapText="1"/>
    </xf>
    <xf numFmtId="168" fontId="3" fillId="0" borderId="1" xfId="0" applyNumberFormat="1" applyFont="1" applyBorder="1" applyAlignment="1">
      <alignment horizontal="left" vertical="center" wrapText="1"/>
    </xf>
    <xf numFmtId="171" fontId="9" fillId="0" borderId="1" xfId="0" applyNumberFormat="1" applyFont="1" applyBorder="1" applyAlignment="1">
      <alignment vertical="center" wrapText="1"/>
    </xf>
    <xf numFmtId="0" fontId="42" fillId="0" borderId="0" xfId="0" applyFont="1"/>
    <xf numFmtId="0" fontId="40" fillId="0" borderId="0" xfId="0" applyFont="1" applyAlignment="1">
      <alignment horizontal="left" vertical="center" wrapText="1"/>
    </xf>
    <xf numFmtId="0" fontId="8" fillId="0" borderId="0" xfId="0" applyFont="1"/>
    <xf numFmtId="37" fontId="28" fillId="0" borderId="1" xfId="1" applyNumberFormat="1" applyFont="1" applyFill="1" applyBorder="1" applyAlignment="1">
      <alignment vertical="center" wrapText="1"/>
    </xf>
    <xf numFmtId="3" fontId="26" fillId="0" borderId="1" xfId="0" applyNumberFormat="1" applyFont="1" applyBorder="1" applyAlignment="1">
      <alignment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168" fontId="4" fillId="0" borderId="0" xfId="0" applyNumberFormat="1" applyFont="1" applyBorder="1" applyAlignment="1">
      <alignment horizontal="left" vertical="center" wrapText="1"/>
    </xf>
    <xf numFmtId="165" fontId="4" fillId="0" borderId="0" xfId="0" applyNumberFormat="1" applyFont="1" applyBorder="1" applyAlignment="1">
      <alignment horizontal="left" vertical="center" wrapText="1"/>
    </xf>
    <xf numFmtId="171" fontId="28" fillId="0" borderId="0" xfId="1" applyNumberFormat="1" applyFont="1" applyFill="1" applyBorder="1" applyAlignment="1">
      <alignment vertical="center" wrapText="1"/>
    </xf>
    <xf numFmtId="3" fontId="16" fillId="0" borderId="1" xfId="0" applyNumberFormat="1" applyFont="1" applyBorder="1"/>
    <xf numFmtId="0" fontId="8" fillId="2" borderId="0" xfId="0" applyFont="1" applyFill="1" applyBorder="1" applyAlignment="1">
      <alignment horizontal="center" vertical="center"/>
    </xf>
    <xf numFmtId="0" fontId="8" fillId="2" borderId="0" xfId="0" applyFont="1" applyFill="1" applyBorder="1" applyAlignment="1">
      <alignment horizontal="left" vertical="center" wrapText="1"/>
    </xf>
    <xf numFmtId="3" fontId="15" fillId="0" borderId="0" xfId="0" applyNumberFormat="1" applyFont="1" applyBorder="1"/>
    <xf numFmtId="165" fontId="2" fillId="2" borderId="0" xfId="0" applyNumberFormat="1" applyFont="1" applyFill="1" applyBorder="1" applyAlignment="1">
      <alignment wrapText="1"/>
    </xf>
    <xf numFmtId="2" fontId="2" fillId="0" borderId="0" xfId="0" applyNumberFormat="1" applyFont="1" applyBorder="1" applyAlignment="1">
      <alignment horizontal="center" wrapText="1"/>
    </xf>
    <xf numFmtId="169" fontId="2" fillId="0" borderId="0" xfId="0" applyNumberFormat="1" applyFont="1" applyBorder="1" applyAlignment="1">
      <alignment horizontal="center" wrapText="1"/>
    </xf>
    <xf numFmtId="0" fontId="8" fillId="2" borderId="6" xfId="0" applyFont="1" applyFill="1" applyBorder="1" applyAlignment="1">
      <alignment horizontal="center" vertical="center"/>
    </xf>
    <xf numFmtId="165" fontId="8" fillId="2" borderId="0" xfId="1" applyNumberFormat="1" applyFont="1" applyFill="1" applyBorder="1"/>
    <xf numFmtId="165" fontId="8" fillId="2" borderId="0" xfId="0" applyNumberFormat="1" applyFont="1" applyFill="1" applyBorder="1" applyAlignment="1">
      <alignment vertical="center" wrapText="1"/>
    </xf>
    <xf numFmtId="165" fontId="8" fillId="2" borderId="0" xfId="0" applyNumberFormat="1" applyFont="1" applyFill="1" applyBorder="1" applyAlignment="1">
      <alignment horizontal="right" vertical="center" wrapText="1"/>
    </xf>
    <xf numFmtId="3" fontId="19" fillId="0" borderId="0" xfId="0" applyNumberFormat="1" applyFont="1" applyBorder="1" applyAlignment="1">
      <alignment horizontal="right" vertical="center"/>
    </xf>
    <xf numFmtId="1" fontId="9" fillId="0" borderId="0" xfId="4" applyNumberFormat="1" applyFont="1" applyAlignment="1">
      <alignment horizontal="center" vertical="center"/>
    </xf>
    <xf numFmtId="1" fontId="10" fillId="0" borderId="0" xfId="4" applyNumberFormat="1" applyFont="1" applyAlignment="1">
      <alignment horizontal="center" vertical="center"/>
    </xf>
    <xf numFmtId="3" fontId="3" fillId="0" borderId="0" xfId="0" applyNumberFormat="1" applyFont="1" applyBorder="1" applyAlignment="1">
      <alignment horizontal="right" vertical="center"/>
    </xf>
    <xf numFmtId="165" fontId="19" fillId="0" borderId="2" xfId="1" applyNumberFormat="1" applyFont="1" applyFill="1" applyBorder="1" applyAlignment="1">
      <alignment horizontal="center"/>
    </xf>
    <xf numFmtId="3" fontId="2" fillId="0" borderId="1" xfId="0" applyNumberFormat="1" applyFont="1" applyBorder="1" applyAlignment="1">
      <alignment horizontal="center" vertical="center" wrapText="1"/>
    </xf>
    <xf numFmtId="3" fontId="2" fillId="0" borderId="6" xfId="3" applyFont="1" applyBorder="1" applyAlignment="1">
      <alignment horizontal="center" vertical="center" wrapText="1"/>
    </xf>
    <xf numFmtId="3" fontId="2" fillId="0" borderId="7" xfId="3" applyFont="1" applyBorder="1" applyAlignment="1">
      <alignment horizontal="center" vertical="center" wrapText="1"/>
    </xf>
    <xf numFmtId="3" fontId="2" fillId="0" borderId="4" xfId="3" applyFont="1" applyBorder="1" applyAlignment="1">
      <alignment horizontal="center" vertical="center" wrapText="1"/>
    </xf>
    <xf numFmtId="3" fontId="2" fillId="0" borderId="10" xfId="3" applyFont="1" applyBorder="1" applyAlignment="1">
      <alignment horizontal="center" vertical="center" wrapText="1"/>
    </xf>
    <xf numFmtId="3" fontId="2" fillId="0" borderId="5" xfId="3" applyFont="1" applyBorder="1" applyAlignment="1">
      <alignment horizontal="center" vertical="center" wrapText="1"/>
    </xf>
    <xf numFmtId="0" fontId="12" fillId="0" borderId="3" xfId="0" applyFont="1" applyBorder="1" applyAlignment="1">
      <alignment horizontal="right"/>
    </xf>
    <xf numFmtId="0" fontId="9" fillId="0" borderId="0" xfId="2"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center" vertical="center"/>
    </xf>
    <xf numFmtId="3" fontId="6" fillId="0" borderId="1" xfId="0" applyNumberFormat="1" applyFont="1" applyBorder="1" applyAlignment="1">
      <alignment horizontal="center" vertical="center" wrapText="1"/>
    </xf>
    <xf numFmtId="165" fontId="6" fillId="0" borderId="6" xfId="1" applyNumberFormat="1" applyFont="1" applyFill="1" applyBorder="1" applyAlignment="1">
      <alignment horizontal="center" vertical="center" wrapText="1"/>
    </xf>
    <xf numFmtId="165" fontId="6" fillId="0" borderId="8" xfId="1" applyNumberFormat="1" applyFont="1" applyFill="1" applyBorder="1" applyAlignment="1">
      <alignment horizontal="center" vertical="center" wrapText="1"/>
    </xf>
    <xf numFmtId="165" fontId="6" fillId="0" borderId="9" xfId="1" applyNumberFormat="1" applyFont="1" applyFill="1" applyBorder="1" applyAlignment="1">
      <alignment horizontal="center" vertical="center" wrapText="1"/>
    </xf>
    <xf numFmtId="165" fontId="6" fillId="0" borderId="12" xfId="1" applyNumberFormat="1" applyFont="1" applyFill="1" applyBorder="1" applyAlignment="1">
      <alignment horizontal="center" vertical="center" wrapText="1"/>
    </xf>
    <xf numFmtId="165" fontId="6" fillId="0" borderId="11" xfId="1" applyNumberFormat="1" applyFont="1" applyFill="1" applyBorder="1" applyAlignment="1">
      <alignment horizontal="center" vertical="center" wrapText="1"/>
    </xf>
    <xf numFmtId="165" fontId="6" fillId="0" borderId="13" xfId="1"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wrapText="1"/>
    </xf>
    <xf numFmtId="0" fontId="9" fillId="0" borderId="0" xfId="0" applyFont="1" applyAlignment="1">
      <alignment horizontal="center" vertical="center"/>
    </xf>
    <xf numFmtId="165" fontId="4" fillId="0" borderId="1" xfId="1" applyNumberFormat="1" applyFont="1" applyFill="1" applyBorder="1" applyAlignment="1">
      <alignment horizontal="center" vertical="center" wrapText="1"/>
    </xf>
    <xf numFmtId="165" fontId="4" fillId="0" borderId="6" xfId="1" applyNumberFormat="1" applyFont="1" applyFill="1" applyBorder="1" applyAlignment="1">
      <alignment horizontal="center" vertical="center" wrapText="1"/>
    </xf>
    <xf numFmtId="165" fontId="4" fillId="0" borderId="8" xfId="1" applyNumberFormat="1" applyFont="1" applyFill="1" applyBorder="1" applyAlignment="1">
      <alignment horizontal="center" vertical="center" wrapText="1"/>
    </xf>
    <xf numFmtId="165" fontId="4" fillId="0" borderId="7" xfId="1" applyNumberFormat="1" applyFont="1" applyFill="1" applyBorder="1" applyAlignment="1">
      <alignment horizontal="center" vertical="center" wrapText="1"/>
    </xf>
    <xf numFmtId="165" fontId="6" fillId="0" borderId="7" xfId="1" applyNumberFormat="1" applyFont="1" applyFill="1" applyBorder="1" applyAlignment="1">
      <alignment horizontal="center" vertical="center" wrapText="1"/>
    </xf>
    <xf numFmtId="165" fontId="6" fillId="0" borderId="3"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6" fillId="0" borderId="2"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right" vertical="center" wrapText="1"/>
    </xf>
    <xf numFmtId="0" fontId="34" fillId="0" borderId="0" xfId="0" applyFont="1" applyAlignment="1">
      <alignment horizontal="center"/>
    </xf>
    <xf numFmtId="0" fontId="34" fillId="0" borderId="0" xfId="0" applyFont="1" applyAlignment="1">
      <alignment horizontal="center" vertical="center" wrapText="1"/>
    </xf>
    <xf numFmtId="0" fontId="36" fillId="0" borderId="0" xfId="0" applyFont="1" applyAlignment="1">
      <alignment horizontal="center" vertical="center" wrapText="1"/>
    </xf>
    <xf numFmtId="0" fontId="36" fillId="0" borderId="2" xfId="0" applyFont="1" applyBorder="1" applyAlignment="1">
      <alignment horizontal="right"/>
    </xf>
    <xf numFmtId="0" fontId="34" fillId="0" borderId="0" xfId="0" applyFont="1" applyAlignment="1">
      <alignment horizontal="right"/>
    </xf>
    <xf numFmtId="0" fontId="38"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3" fillId="0" borderId="0" xfId="7" applyFont="1" applyAlignment="1">
      <alignment horizontal="center" vertical="center"/>
    </xf>
    <xf numFmtId="3" fontId="22" fillId="0" borderId="0" xfId="7" applyNumberFormat="1" applyFont="1" applyAlignment="1">
      <alignment horizontal="center"/>
    </xf>
    <xf numFmtId="3" fontId="23" fillId="0" borderId="2" xfId="7" applyNumberFormat="1" applyFont="1" applyBorder="1" applyAlignment="1">
      <alignment horizontal="center" vertical="center" wrapText="1"/>
    </xf>
    <xf numFmtId="0" fontId="24" fillId="0" borderId="1" xfId="7" applyFont="1" applyBorder="1" applyAlignment="1">
      <alignment horizontal="center" vertical="center" wrapText="1"/>
    </xf>
    <xf numFmtId="0" fontId="24" fillId="0" borderId="1" xfId="7" applyFont="1" applyBorder="1" applyAlignment="1">
      <alignment horizontal="center" vertical="center"/>
    </xf>
    <xf numFmtId="3" fontId="24" fillId="0" borderId="1" xfId="7" applyNumberFormat="1" applyFont="1" applyBorder="1" applyAlignment="1">
      <alignment horizontal="center" vertical="center" wrapText="1"/>
    </xf>
    <xf numFmtId="3" fontId="24" fillId="0" borderId="1" xfId="7" applyNumberFormat="1" applyFont="1" applyBorder="1" applyAlignment="1">
      <alignment horizontal="center" vertical="center"/>
    </xf>
    <xf numFmtId="0" fontId="11" fillId="0" borderId="0" xfId="0" applyFont="1" applyAlignment="1">
      <alignment horizontal="right"/>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3" fillId="0" borderId="2" xfId="0" applyFont="1" applyBorder="1" applyAlignment="1">
      <alignment horizontal="center"/>
    </xf>
    <xf numFmtId="0" fontId="3" fillId="0" borderId="0" xfId="0" applyFont="1" applyAlignment="1">
      <alignment horizontal="center" vertical="center"/>
    </xf>
    <xf numFmtId="0" fontId="12" fillId="0" borderId="0" xfId="0" applyFont="1" applyAlignment="1">
      <alignment horizontal="left"/>
    </xf>
    <xf numFmtId="0" fontId="2" fillId="0" borderId="1" xfId="0" applyFont="1" applyBorder="1" applyAlignment="1">
      <alignment horizontal="center" vertical="center" wrapText="1"/>
    </xf>
    <xf numFmtId="0" fontId="7" fillId="0" borderId="2" xfId="0" applyFont="1" applyBorder="1" applyAlignment="1">
      <alignment horizontal="right" vertical="center"/>
    </xf>
    <xf numFmtId="0" fontId="11" fillId="0" borderId="0" xfId="0" applyFont="1" applyAlignment="1">
      <alignment horizontal="center"/>
    </xf>
    <xf numFmtId="0" fontId="11" fillId="0" borderId="2" xfId="0" applyFont="1" applyBorder="1" applyAlignment="1">
      <alignment horizontal="center"/>
    </xf>
    <xf numFmtId="0" fontId="33"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3" fillId="0" borderId="2" xfId="0" applyFont="1" applyBorder="1" applyAlignment="1">
      <alignment horizontal="right"/>
    </xf>
    <xf numFmtId="0" fontId="16" fillId="0" borderId="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5" xfId="0" applyFont="1" applyBorder="1" applyAlignment="1">
      <alignment horizontal="center" vertical="center" wrapText="1"/>
    </xf>
    <xf numFmtId="0" fontId="12" fillId="0" borderId="4" xfId="0" applyFont="1" applyBorder="1" applyAlignment="1">
      <alignment horizontal="center"/>
    </xf>
    <xf numFmtId="0" fontId="12" fillId="0" borderId="5" xfId="0" applyFont="1" applyBorder="1" applyAlignment="1">
      <alignment horizontal="center"/>
    </xf>
    <xf numFmtId="0" fontId="12" fillId="0" borderId="10" xfId="0" applyFont="1" applyBorder="1" applyAlignment="1">
      <alignment horizontal="center"/>
    </xf>
    <xf numFmtId="0" fontId="12" fillId="0" borderId="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18" fillId="0" borderId="4" xfId="0" applyFont="1" applyBorder="1" applyAlignment="1">
      <alignment horizontal="center"/>
    </xf>
    <xf numFmtId="0" fontId="18" fillId="0" borderId="5" xfId="0" applyFont="1" applyBorder="1" applyAlignment="1">
      <alignment horizontal="center"/>
    </xf>
    <xf numFmtId="0" fontId="16" fillId="0" borderId="4" xfId="0" applyFont="1" applyBorder="1" applyAlignment="1">
      <alignment horizontal="center"/>
    </xf>
    <xf numFmtId="0" fontId="16" fillId="0" borderId="10" xfId="0" applyFont="1" applyBorder="1" applyAlignment="1">
      <alignment horizontal="center"/>
    </xf>
    <xf numFmtId="0" fontId="16" fillId="0" borderId="5" xfId="0" applyFont="1" applyBorder="1" applyAlignment="1">
      <alignment horizontal="center"/>
    </xf>
    <xf numFmtId="0" fontId="16" fillId="0" borderId="8" xfId="0" applyFont="1" applyBorder="1" applyAlignment="1">
      <alignment horizontal="center" vertical="center" wrapText="1"/>
    </xf>
  </cellXfs>
  <cellStyles count="8">
    <cellStyle name="Comma" xfId="1" builtinId="3"/>
    <cellStyle name="Normal" xfId="0" builtinId="0"/>
    <cellStyle name="Normal 10" xfId="4"/>
    <cellStyle name="Normal 11" xfId="7"/>
    <cellStyle name="Normal 14" xfId="3"/>
    <cellStyle name="Normal 2 7" xfId="2"/>
    <cellStyle name="Normal 25" xfId="6"/>
    <cellStyle name="Normal 9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457200</xdr:colOff>
      <xdr:row>3</xdr:row>
      <xdr:rowOff>12700</xdr:rowOff>
    </xdr:from>
    <xdr:to>
      <xdr:col>6</xdr:col>
      <xdr:colOff>793750</xdr:colOff>
      <xdr:row>3</xdr:row>
      <xdr:rowOff>25400</xdr:rowOff>
    </xdr:to>
    <xdr:cxnSp macro="">
      <xdr:nvCxnSpPr>
        <xdr:cNvPr id="3" name="Straight Connector 2"/>
        <xdr:cNvCxnSpPr/>
      </xdr:nvCxnSpPr>
      <xdr:spPr>
        <a:xfrm flipV="1">
          <a:off x="3079750" y="64135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298450</xdr:colOff>
      <xdr:row>3</xdr:row>
      <xdr:rowOff>6350</xdr:rowOff>
    </xdr:from>
    <xdr:to>
      <xdr:col>7</xdr:col>
      <xdr:colOff>311150</xdr:colOff>
      <xdr:row>3</xdr:row>
      <xdr:rowOff>19050</xdr:rowOff>
    </xdr:to>
    <xdr:cxnSp macro="">
      <xdr:nvCxnSpPr>
        <xdr:cNvPr id="2" name="Straight Connector 1"/>
        <xdr:cNvCxnSpPr/>
      </xdr:nvCxnSpPr>
      <xdr:spPr>
        <a:xfrm flipV="1">
          <a:off x="3219450" y="64770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69850</xdr:colOff>
      <xdr:row>2</xdr:row>
      <xdr:rowOff>177800</xdr:rowOff>
    </xdr:from>
    <xdr:to>
      <xdr:col>9</xdr:col>
      <xdr:colOff>488950</xdr:colOff>
      <xdr:row>3</xdr:row>
      <xdr:rowOff>6350</xdr:rowOff>
    </xdr:to>
    <xdr:cxnSp macro="">
      <xdr:nvCxnSpPr>
        <xdr:cNvPr id="2" name="Straight Connector 1"/>
        <xdr:cNvCxnSpPr/>
      </xdr:nvCxnSpPr>
      <xdr:spPr>
        <a:xfrm flipV="1">
          <a:off x="3232150" y="54610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1238250</xdr:colOff>
      <xdr:row>3</xdr:row>
      <xdr:rowOff>6350</xdr:rowOff>
    </xdr:from>
    <xdr:to>
      <xdr:col>3</xdr:col>
      <xdr:colOff>514350</xdr:colOff>
      <xdr:row>3</xdr:row>
      <xdr:rowOff>19050</xdr:rowOff>
    </xdr:to>
    <xdr:cxnSp macro="">
      <xdr:nvCxnSpPr>
        <xdr:cNvPr id="2" name="Straight Connector 1"/>
        <xdr:cNvCxnSpPr/>
      </xdr:nvCxnSpPr>
      <xdr:spPr>
        <a:xfrm flipV="1">
          <a:off x="1587500" y="63500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1416050</xdr:colOff>
      <xdr:row>2</xdr:row>
      <xdr:rowOff>215900</xdr:rowOff>
    </xdr:from>
    <xdr:to>
      <xdr:col>7</xdr:col>
      <xdr:colOff>908050</xdr:colOff>
      <xdr:row>3</xdr:row>
      <xdr:rowOff>0</xdr:rowOff>
    </xdr:to>
    <xdr:cxnSp macro="">
      <xdr:nvCxnSpPr>
        <xdr:cNvPr id="2" name="Straight Connector 1"/>
        <xdr:cNvCxnSpPr/>
      </xdr:nvCxnSpPr>
      <xdr:spPr>
        <a:xfrm flipV="1">
          <a:off x="1733550" y="66040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247650</xdr:rowOff>
    </xdr:from>
    <xdr:to>
      <xdr:col>9</xdr:col>
      <xdr:colOff>292100</xdr:colOff>
      <xdr:row>3</xdr:row>
      <xdr:rowOff>6350</xdr:rowOff>
    </xdr:to>
    <xdr:cxnSp macro="">
      <xdr:nvCxnSpPr>
        <xdr:cNvPr id="2" name="Straight Connector 1"/>
        <xdr:cNvCxnSpPr/>
      </xdr:nvCxnSpPr>
      <xdr:spPr>
        <a:xfrm flipV="1">
          <a:off x="3625850" y="61595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1231900</xdr:colOff>
      <xdr:row>3</xdr:row>
      <xdr:rowOff>0</xdr:rowOff>
    </xdr:from>
    <xdr:to>
      <xdr:col>4</xdr:col>
      <xdr:colOff>622300</xdr:colOff>
      <xdr:row>3</xdr:row>
      <xdr:rowOff>12700</xdr:rowOff>
    </xdr:to>
    <xdr:cxnSp macro="">
      <xdr:nvCxnSpPr>
        <xdr:cNvPr id="2" name="Straight Connector 1"/>
        <xdr:cNvCxnSpPr/>
      </xdr:nvCxnSpPr>
      <xdr:spPr>
        <a:xfrm flipV="1">
          <a:off x="1562100" y="61595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1371600</xdr:colOff>
      <xdr:row>3</xdr:row>
      <xdr:rowOff>0</xdr:rowOff>
    </xdr:from>
    <xdr:to>
      <xdr:col>5</xdr:col>
      <xdr:colOff>152400</xdr:colOff>
      <xdr:row>3</xdr:row>
      <xdr:rowOff>12700</xdr:rowOff>
    </xdr:to>
    <xdr:cxnSp macro="">
      <xdr:nvCxnSpPr>
        <xdr:cNvPr id="2" name="Straight Connector 1"/>
        <xdr:cNvCxnSpPr/>
      </xdr:nvCxnSpPr>
      <xdr:spPr>
        <a:xfrm flipV="1">
          <a:off x="1631950" y="58420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1134438</xdr:colOff>
      <xdr:row>2</xdr:row>
      <xdr:rowOff>185505</xdr:rowOff>
    </xdr:from>
    <xdr:to>
      <xdr:col>4</xdr:col>
      <xdr:colOff>7777</xdr:colOff>
      <xdr:row>3</xdr:row>
      <xdr:rowOff>12699</xdr:rowOff>
    </xdr:to>
    <xdr:cxnSp macro="">
      <xdr:nvCxnSpPr>
        <xdr:cNvPr id="2" name="Straight Connector 1"/>
        <xdr:cNvCxnSpPr/>
      </xdr:nvCxnSpPr>
      <xdr:spPr>
        <a:xfrm flipV="1">
          <a:off x="1484045" y="556516"/>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1054100</xdr:colOff>
      <xdr:row>3</xdr:row>
      <xdr:rowOff>6350</xdr:rowOff>
    </xdr:from>
    <xdr:to>
      <xdr:col>1</xdr:col>
      <xdr:colOff>4743450</xdr:colOff>
      <xdr:row>3</xdr:row>
      <xdr:rowOff>19050</xdr:rowOff>
    </xdr:to>
    <xdr:cxnSp macro="">
      <xdr:nvCxnSpPr>
        <xdr:cNvPr id="2" name="Straight Connector 1"/>
        <xdr:cNvCxnSpPr/>
      </xdr:nvCxnSpPr>
      <xdr:spPr>
        <a:xfrm flipV="1">
          <a:off x="1435100" y="59055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2768600</xdr:colOff>
      <xdr:row>3</xdr:row>
      <xdr:rowOff>0</xdr:rowOff>
    </xdr:from>
    <xdr:to>
      <xdr:col>5</xdr:col>
      <xdr:colOff>603250</xdr:colOff>
      <xdr:row>3</xdr:row>
      <xdr:rowOff>12700</xdr:rowOff>
    </xdr:to>
    <xdr:cxnSp macro="">
      <xdr:nvCxnSpPr>
        <xdr:cNvPr id="2" name="Straight Connector 1"/>
        <xdr:cNvCxnSpPr/>
      </xdr:nvCxnSpPr>
      <xdr:spPr>
        <a:xfrm flipV="1">
          <a:off x="3155950" y="628650"/>
          <a:ext cx="368935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1.%20PL%20KEM%20BC%20DT%2025;%20KH%202026%20-%20KEM%20NGHI%20QUYE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01"/>
      <sheetName val="PL 02"/>
      <sheetName val="3. NO XDCB"/>
      <sheetName val="3. hoan thanh chua QT"/>
      <sheetName val="3. qtoan"/>
      <sheetName val="3. Dừng KT"/>
      <sheetName val="4. TH 2025"/>
      <sheetName val="5. TH tien do DA"/>
      <sheetName val="6.KH 25-30"/>
      <sheetName val="7. KHV"/>
      <sheetName val="Tra no"/>
      <sheetName val="05. KH 2026"/>
      <sheetName val="Trang_tính3"/>
      <sheetName val="Trang_tính4"/>
      <sheetName val="TM tang thu"/>
      <sheetName val="4. PB 2025"/>
      <sheetName val="Trang_tính1"/>
      <sheetName val="NQ dieu chinh"/>
      <sheetName val="4. TH 6 tháng"/>
      <sheetName val="4. ĐƯƠNG VMĐT"/>
      <sheetName val="4. XIMANG DUONG"/>
      <sheetName val="4. Mở rộng le"/>
      <sheetName val="4. RANH TN"/>
      <sheetName val="4. PHỤCHỒIMD"/>
    </sheetNames>
    <sheetDataSet>
      <sheetData sheetId="0"/>
      <sheetData sheetId="1"/>
      <sheetData sheetId="2"/>
      <sheetData sheetId="3"/>
      <sheetData sheetId="4"/>
      <sheetData sheetId="5"/>
      <sheetData sheetId="6"/>
      <sheetData sheetId="7"/>
      <sheetData sheetId="8"/>
      <sheetData sheetId="9">
        <row r="12">
          <cell r="E12">
            <v>58750</v>
          </cell>
        </row>
        <row r="17">
          <cell r="E17">
            <v>3141.0369999999998</v>
          </cell>
        </row>
      </sheetData>
      <sheetData sheetId="10">
        <row r="6">
          <cell r="G6">
            <v>4991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opLeftCell="A28" zoomScaleNormal="100" workbookViewId="0">
      <selection activeCell="F30" sqref="F30"/>
    </sheetView>
  </sheetViews>
  <sheetFormatPr defaultRowHeight="14.5" x14ac:dyDescent="0.35"/>
  <cols>
    <col min="1" max="1" width="4.26953125" customWidth="1"/>
    <col min="2" max="2" width="33.26953125" customWidth="1"/>
    <col min="3" max="3" width="12.54296875" customWidth="1"/>
    <col min="4" max="4" width="10.7265625" customWidth="1"/>
    <col min="5" max="5" width="12.54296875" customWidth="1"/>
    <col min="6" max="6" width="12.1796875" customWidth="1"/>
    <col min="7" max="9" width="13.1796875" customWidth="1"/>
    <col min="10" max="10" width="12.81640625" customWidth="1"/>
    <col min="11" max="11" width="7.1796875" customWidth="1"/>
    <col min="13" max="13" width="12" bestFit="1" customWidth="1"/>
    <col min="14" max="14" width="15" customWidth="1"/>
    <col min="16" max="17" width="11.54296875" bestFit="1" customWidth="1"/>
  </cols>
  <sheetData>
    <row r="1" spans="1:14" ht="16.5" x14ac:dyDescent="0.35">
      <c r="A1" s="217" t="s">
        <v>431</v>
      </c>
      <c r="B1" s="217"/>
      <c r="C1" s="217"/>
      <c r="D1" s="217"/>
      <c r="E1" s="217"/>
      <c r="F1" s="217"/>
      <c r="G1" s="217"/>
      <c r="H1" s="217"/>
      <c r="I1" s="217"/>
      <c r="J1" s="217"/>
      <c r="K1" s="28"/>
    </row>
    <row r="2" spans="1:14" ht="16.5" x14ac:dyDescent="0.35">
      <c r="A2" s="217" t="s">
        <v>210</v>
      </c>
      <c r="B2" s="217"/>
      <c r="C2" s="217"/>
      <c r="D2" s="217"/>
      <c r="E2" s="217"/>
      <c r="F2" s="217"/>
      <c r="G2" s="217"/>
      <c r="H2" s="217"/>
      <c r="I2" s="217"/>
      <c r="J2" s="217"/>
      <c r="K2" s="29"/>
    </row>
    <row r="3" spans="1:14" ht="16.5" x14ac:dyDescent="0.35">
      <c r="A3" s="218" t="s">
        <v>467</v>
      </c>
      <c r="B3" s="218"/>
      <c r="C3" s="218"/>
      <c r="D3" s="218"/>
      <c r="E3" s="218"/>
      <c r="F3" s="218"/>
      <c r="G3" s="218"/>
      <c r="H3" s="218"/>
      <c r="I3" s="218"/>
      <c r="J3" s="218"/>
      <c r="K3" s="218"/>
    </row>
    <row r="4" spans="1:14" x14ac:dyDescent="0.35">
      <c r="A4" s="195"/>
      <c r="B4" s="195"/>
      <c r="C4" s="195"/>
      <c r="D4" s="195"/>
      <c r="E4" s="195"/>
      <c r="F4" s="195"/>
      <c r="G4" s="220" t="s">
        <v>212</v>
      </c>
      <c r="H4" s="220"/>
      <c r="I4" s="220"/>
      <c r="J4" s="220"/>
      <c r="K4" s="220"/>
    </row>
    <row r="5" spans="1:14" ht="27" customHeight="1" x14ac:dyDescent="0.35">
      <c r="A5" s="221" t="s">
        <v>0</v>
      </c>
      <c r="B5" s="221" t="s">
        <v>3</v>
      </c>
      <c r="C5" s="222" t="s">
        <v>429</v>
      </c>
      <c r="D5" s="221" t="s">
        <v>181</v>
      </c>
      <c r="E5" s="221"/>
      <c r="F5" s="221"/>
      <c r="G5" s="222" t="s">
        <v>430</v>
      </c>
      <c r="H5" s="224" t="s">
        <v>181</v>
      </c>
      <c r="I5" s="225"/>
      <c r="J5" s="226"/>
      <c r="K5" s="222" t="s">
        <v>182</v>
      </c>
    </row>
    <row r="6" spans="1:14" ht="30" customHeight="1" x14ac:dyDescent="0.35">
      <c r="A6" s="221"/>
      <c r="B6" s="221"/>
      <c r="C6" s="223"/>
      <c r="D6" s="130" t="s">
        <v>428</v>
      </c>
      <c r="E6" s="130" t="s">
        <v>427</v>
      </c>
      <c r="F6" s="130" t="s">
        <v>426</v>
      </c>
      <c r="G6" s="223"/>
      <c r="H6" s="130" t="s">
        <v>428</v>
      </c>
      <c r="I6" s="130" t="s">
        <v>427</v>
      </c>
      <c r="J6" s="130" t="s">
        <v>426</v>
      </c>
      <c r="K6" s="223"/>
    </row>
    <row r="7" spans="1:14" ht="25.5" customHeight="1" x14ac:dyDescent="0.35">
      <c r="A7" s="30"/>
      <c r="B7" s="31" t="s">
        <v>41</v>
      </c>
      <c r="C7" s="32">
        <f>C8+C30+C33</f>
        <v>238680000</v>
      </c>
      <c r="D7" s="32">
        <f t="shared" ref="D7" si="0">D8+D30+D33</f>
        <v>6400000</v>
      </c>
      <c r="E7" s="32">
        <f t="shared" ref="E7" si="1">E8+E30+E33</f>
        <v>52707000</v>
      </c>
      <c r="F7" s="32">
        <f t="shared" ref="F7" si="2">F8+F30+F33</f>
        <v>179573000</v>
      </c>
      <c r="G7" s="32">
        <f t="shared" ref="G7" si="3">G8+G30+G33</f>
        <v>390030000</v>
      </c>
      <c r="H7" s="32">
        <f t="shared" ref="H7" si="4">H8+H30+H33</f>
        <v>19772500</v>
      </c>
      <c r="I7" s="32">
        <f t="shared" ref="I7" si="5">I8+I30+I33</f>
        <v>118640250</v>
      </c>
      <c r="J7" s="32">
        <f t="shared" ref="J7" si="6">J8+J30+J33</f>
        <v>251617250</v>
      </c>
      <c r="K7" s="33"/>
      <c r="M7" s="129"/>
      <c r="N7" s="129"/>
    </row>
    <row r="8" spans="1:14" x14ac:dyDescent="0.35">
      <c r="A8" s="34" t="s">
        <v>4</v>
      </c>
      <c r="B8" s="35" t="s">
        <v>40</v>
      </c>
      <c r="C8" s="32">
        <f t="shared" ref="C8:J8" si="7">C9+C13</f>
        <v>116790000</v>
      </c>
      <c r="D8" s="32">
        <f t="shared" si="7"/>
        <v>6400000</v>
      </c>
      <c r="E8" s="32">
        <f t="shared" si="7"/>
        <v>52707000</v>
      </c>
      <c r="F8" s="32">
        <f t="shared" si="7"/>
        <v>57683000</v>
      </c>
      <c r="G8" s="32">
        <f t="shared" si="7"/>
        <v>256940000</v>
      </c>
      <c r="H8" s="32">
        <f t="shared" si="7"/>
        <v>19772500</v>
      </c>
      <c r="I8" s="32">
        <f t="shared" si="7"/>
        <v>118640250</v>
      </c>
      <c r="J8" s="32">
        <f t="shared" si="7"/>
        <v>118527250</v>
      </c>
      <c r="K8" s="33"/>
      <c r="M8" s="129"/>
      <c r="N8" s="129"/>
    </row>
    <row r="9" spans="1:14" ht="21.75" customHeight="1" x14ac:dyDescent="0.35">
      <c r="A9" s="34" t="s">
        <v>1</v>
      </c>
      <c r="B9" s="35" t="s">
        <v>6</v>
      </c>
      <c r="C9" s="36">
        <f>SUM(C10:C12)</f>
        <v>1400000</v>
      </c>
      <c r="D9" s="36">
        <f t="shared" ref="D9:E9" si="8">SUM(D10:D12)</f>
        <v>0</v>
      </c>
      <c r="E9" s="36">
        <f t="shared" si="8"/>
        <v>0</v>
      </c>
      <c r="F9" s="36">
        <f>SUM(F10:F12)</f>
        <v>1400000</v>
      </c>
      <c r="G9" s="36">
        <f>SUM(G10:G12)</f>
        <v>1400000</v>
      </c>
      <c r="H9" s="36">
        <f t="shared" ref="H9:I9" si="9">SUM(H10:H12)</f>
        <v>0</v>
      </c>
      <c r="I9" s="36">
        <f t="shared" si="9"/>
        <v>0</v>
      </c>
      <c r="J9" s="149">
        <f t="shared" ref="J9" si="10">SUM(J10:J12)</f>
        <v>1400000</v>
      </c>
      <c r="K9" s="33"/>
      <c r="M9" s="129"/>
      <c r="N9" s="129"/>
    </row>
    <row r="10" spans="1:14" x14ac:dyDescent="0.35">
      <c r="A10" s="37">
        <v>1</v>
      </c>
      <c r="B10" s="38" t="s">
        <v>183</v>
      </c>
      <c r="C10" s="39">
        <v>1000000</v>
      </c>
      <c r="D10" s="39"/>
      <c r="E10" s="39">
        <f t="shared" ref="E10:E35" si="11">C10-F10</f>
        <v>0</v>
      </c>
      <c r="F10" s="39">
        <f>C10</f>
        <v>1000000</v>
      </c>
      <c r="G10" s="40">
        <f>C10</f>
        <v>1000000</v>
      </c>
      <c r="H10" s="40"/>
      <c r="I10" s="32">
        <f t="shared" ref="I10:I35" si="12">G10-J10</f>
        <v>0</v>
      </c>
      <c r="J10" s="40">
        <f t="shared" ref="J10:J25" si="13">F10</f>
        <v>1000000</v>
      </c>
      <c r="K10" s="33"/>
      <c r="M10" s="129"/>
      <c r="N10" s="129"/>
    </row>
    <row r="11" spans="1:14" ht="21.75" customHeight="1" x14ac:dyDescent="0.35">
      <c r="A11" s="37">
        <v>2</v>
      </c>
      <c r="B11" s="41" t="s">
        <v>184</v>
      </c>
      <c r="C11" s="42">
        <v>200000</v>
      </c>
      <c r="D11" s="42"/>
      <c r="E11" s="42">
        <f t="shared" si="11"/>
        <v>0</v>
      </c>
      <c r="F11" s="42">
        <v>200000</v>
      </c>
      <c r="G11" s="40">
        <f>C11</f>
        <v>200000</v>
      </c>
      <c r="H11" s="40"/>
      <c r="I11" s="32">
        <f t="shared" si="12"/>
        <v>0</v>
      </c>
      <c r="J11" s="40">
        <f>F11</f>
        <v>200000</v>
      </c>
      <c r="K11" s="33"/>
      <c r="M11" s="129"/>
      <c r="N11" s="129"/>
    </row>
    <row r="12" spans="1:14" ht="21.75" customHeight="1" x14ac:dyDescent="0.35">
      <c r="A12" s="37">
        <v>3</v>
      </c>
      <c r="B12" s="43" t="s">
        <v>185</v>
      </c>
      <c r="C12" s="42">
        <v>200000</v>
      </c>
      <c r="D12" s="42"/>
      <c r="E12" s="42">
        <f t="shared" si="11"/>
        <v>0</v>
      </c>
      <c r="F12" s="42">
        <f>C12</f>
        <v>200000</v>
      </c>
      <c r="G12" s="40">
        <f>C12</f>
        <v>200000</v>
      </c>
      <c r="H12" s="40"/>
      <c r="I12" s="32">
        <f t="shared" si="12"/>
        <v>0</v>
      </c>
      <c r="J12" s="40">
        <f t="shared" si="13"/>
        <v>200000</v>
      </c>
      <c r="K12" s="33"/>
      <c r="M12" s="129"/>
      <c r="N12" s="129"/>
    </row>
    <row r="13" spans="1:14" ht="21.75" customHeight="1" x14ac:dyDescent="0.35">
      <c r="A13" s="34" t="s">
        <v>2</v>
      </c>
      <c r="B13" s="44" t="s">
        <v>42</v>
      </c>
      <c r="C13" s="45">
        <f t="shared" ref="C13:J13" si="14">C14+C16</f>
        <v>115390000</v>
      </c>
      <c r="D13" s="45">
        <f t="shared" si="14"/>
        <v>6400000</v>
      </c>
      <c r="E13" s="45">
        <f t="shared" si="14"/>
        <v>52707000</v>
      </c>
      <c r="F13" s="45">
        <f t="shared" si="14"/>
        <v>56283000</v>
      </c>
      <c r="G13" s="45">
        <f t="shared" si="14"/>
        <v>255540000</v>
      </c>
      <c r="H13" s="45">
        <f t="shared" si="14"/>
        <v>19772500</v>
      </c>
      <c r="I13" s="45">
        <f t="shared" si="14"/>
        <v>118640250</v>
      </c>
      <c r="J13" s="45">
        <f t="shared" si="14"/>
        <v>117127250</v>
      </c>
      <c r="K13" s="33"/>
      <c r="M13" s="129"/>
      <c r="N13" s="129"/>
    </row>
    <row r="14" spans="1:14" ht="23.25" customHeight="1" x14ac:dyDescent="0.35">
      <c r="A14" s="34">
        <v>1</v>
      </c>
      <c r="B14" s="44" t="s">
        <v>43</v>
      </c>
      <c r="C14" s="32">
        <f>SUM(C15:C15)</f>
        <v>10190000</v>
      </c>
      <c r="D14" s="32">
        <f t="shared" ref="D14:J14" si="15">SUM(D15:D15)</f>
        <v>0</v>
      </c>
      <c r="E14" s="32">
        <f t="shared" si="15"/>
        <v>5095000</v>
      </c>
      <c r="F14" s="32">
        <f t="shared" si="15"/>
        <v>5095000</v>
      </c>
      <c r="G14" s="32">
        <f t="shared" si="15"/>
        <v>12190000</v>
      </c>
      <c r="H14" s="32">
        <f t="shared" si="15"/>
        <v>0</v>
      </c>
      <c r="I14" s="32">
        <f t="shared" si="12"/>
        <v>6095000</v>
      </c>
      <c r="J14" s="32">
        <f t="shared" si="15"/>
        <v>6095000</v>
      </c>
      <c r="K14" s="33"/>
      <c r="M14" s="129"/>
      <c r="N14" s="129"/>
    </row>
    <row r="15" spans="1:14" ht="31.5" customHeight="1" x14ac:dyDescent="0.35">
      <c r="A15" s="46" t="s">
        <v>37</v>
      </c>
      <c r="B15" s="41" t="s">
        <v>186</v>
      </c>
      <c r="C15" s="39">
        <v>10190000</v>
      </c>
      <c r="D15" s="39"/>
      <c r="E15" s="39">
        <f t="shared" si="11"/>
        <v>5095000</v>
      </c>
      <c r="F15" s="39">
        <f>C15/2</f>
        <v>5095000</v>
      </c>
      <c r="G15" s="40">
        <v>12190000</v>
      </c>
      <c r="H15" s="40"/>
      <c r="I15" s="169">
        <f t="shared" si="12"/>
        <v>6095000</v>
      </c>
      <c r="J15" s="40">
        <f>G15/2</f>
        <v>6095000</v>
      </c>
      <c r="K15" s="33"/>
      <c r="M15" s="129"/>
      <c r="N15" s="129"/>
    </row>
    <row r="16" spans="1:14" ht="33" customHeight="1" x14ac:dyDescent="0.35">
      <c r="A16" s="34">
        <v>2</v>
      </c>
      <c r="B16" s="44" t="s">
        <v>187</v>
      </c>
      <c r="C16" s="45">
        <f>C17+C20+C23+C24+C28+C29</f>
        <v>105200000</v>
      </c>
      <c r="D16" s="45">
        <f t="shared" ref="D16:F16" si="16">D17+D20+D23+D24+D28+D29</f>
        <v>6400000</v>
      </c>
      <c r="E16" s="45">
        <f t="shared" si="16"/>
        <v>47612000</v>
      </c>
      <c r="F16" s="45">
        <f t="shared" si="16"/>
        <v>51188000</v>
      </c>
      <c r="G16" s="45">
        <f>G17+G20+G23+G24+G28+G29</f>
        <v>243350000</v>
      </c>
      <c r="H16" s="45">
        <f t="shared" ref="H16:J16" si="17">H17+H20+H23+H24+H28+H29</f>
        <v>19772500</v>
      </c>
      <c r="I16" s="45">
        <f t="shared" si="17"/>
        <v>112545250</v>
      </c>
      <c r="J16" s="45">
        <f t="shared" si="17"/>
        <v>111032250</v>
      </c>
      <c r="K16" s="33"/>
      <c r="M16" s="129"/>
      <c r="N16" s="129"/>
    </row>
    <row r="17" spans="1:17" ht="30" customHeight="1" x14ac:dyDescent="0.35">
      <c r="A17" s="34" t="s">
        <v>19</v>
      </c>
      <c r="B17" s="44" t="s">
        <v>9</v>
      </c>
      <c r="C17" s="32">
        <f t="shared" ref="C17:J17" si="18">SUM(C18:C19)</f>
        <v>3300000</v>
      </c>
      <c r="D17" s="32">
        <f t="shared" si="18"/>
        <v>0</v>
      </c>
      <c r="E17" s="32">
        <f t="shared" si="18"/>
        <v>1650000</v>
      </c>
      <c r="F17" s="32">
        <f t="shared" si="18"/>
        <v>1650000</v>
      </c>
      <c r="G17" s="32">
        <f t="shared" si="18"/>
        <v>3300000</v>
      </c>
      <c r="H17" s="32">
        <f t="shared" si="18"/>
        <v>0</v>
      </c>
      <c r="I17" s="32">
        <f t="shared" si="12"/>
        <v>1650000</v>
      </c>
      <c r="J17" s="32">
        <f t="shared" si="18"/>
        <v>1650000</v>
      </c>
      <c r="K17" s="33"/>
      <c r="M17" s="129"/>
      <c r="N17" s="129"/>
    </row>
    <row r="18" spans="1:17" ht="29.25" customHeight="1" x14ac:dyDescent="0.35">
      <c r="A18" s="37" t="s">
        <v>28</v>
      </c>
      <c r="B18" s="41" t="s">
        <v>188</v>
      </c>
      <c r="C18" s="47">
        <v>1500000</v>
      </c>
      <c r="D18" s="47"/>
      <c r="E18" s="47">
        <f t="shared" si="11"/>
        <v>750000</v>
      </c>
      <c r="F18" s="39">
        <f>C18/2</f>
        <v>750000</v>
      </c>
      <c r="G18" s="40">
        <f>C18</f>
        <v>1500000</v>
      </c>
      <c r="H18" s="40"/>
      <c r="I18" s="169">
        <f t="shared" si="12"/>
        <v>750000</v>
      </c>
      <c r="J18" s="40">
        <f>F18</f>
        <v>750000</v>
      </c>
      <c r="K18" s="33"/>
      <c r="M18" s="129"/>
      <c r="N18" s="129"/>
    </row>
    <row r="19" spans="1:17" ht="29.25" customHeight="1" x14ac:dyDescent="0.35">
      <c r="A19" s="37" t="s">
        <v>29</v>
      </c>
      <c r="B19" s="43" t="s">
        <v>189</v>
      </c>
      <c r="C19" s="47">
        <v>1800000</v>
      </c>
      <c r="D19" s="47"/>
      <c r="E19" s="47">
        <f t="shared" si="11"/>
        <v>900000</v>
      </c>
      <c r="F19" s="39">
        <f>C19/2</f>
        <v>900000</v>
      </c>
      <c r="G19" s="40">
        <f>C19</f>
        <v>1800000</v>
      </c>
      <c r="H19" s="40"/>
      <c r="I19" s="169">
        <f t="shared" si="12"/>
        <v>900000</v>
      </c>
      <c r="J19" s="40">
        <f t="shared" si="13"/>
        <v>900000</v>
      </c>
      <c r="K19" s="33"/>
      <c r="M19" s="129"/>
      <c r="N19" s="129"/>
    </row>
    <row r="20" spans="1:17" ht="30.75" customHeight="1" x14ac:dyDescent="0.35">
      <c r="A20" s="34" t="s">
        <v>20</v>
      </c>
      <c r="B20" s="44" t="s">
        <v>45</v>
      </c>
      <c r="C20" s="32">
        <f>SUM(C21:C22)</f>
        <v>40000000</v>
      </c>
      <c r="D20" s="32">
        <f t="shared" ref="D20:F20" si="19">SUM(D21:D22)</f>
        <v>6000000</v>
      </c>
      <c r="E20" s="32">
        <f t="shared" si="19"/>
        <v>15300000</v>
      </c>
      <c r="F20" s="32">
        <f t="shared" si="19"/>
        <v>18700000</v>
      </c>
      <c r="G20" s="32">
        <f>SUM(G21:G22)</f>
        <v>129150000</v>
      </c>
      <c r="H20" s="32">
        <f t="shared" ref="H20:J20" si="20">SUM(H21:H22)</f>
        <v>19372500</v>
      </c>
      <c r="I20" s="32">
        <f t="shared" si="20"/>
        <v>73733250</v>
      </c>
      <c r="J20" s="32">
        <f t="shared" si="20"/>
        <v>36044250</v>
      </c>
      <c r="K20" s="33"/>
      <c r="M20" s="129"/>
      <c r="N20" s="129"/>
      <c r="Q20" s="129"/>
    </row>
    <row r="21" spans="1:17" ht="57.75" customHeight="1" x14ac:dyDescent="0.35">
      <c r="A21" s="37" t="s">
        <v>28</v>
      </c>
      <c r="B21" s="43" t="s">
        <v>190</v>
      </c>
      <c r="C21" s="47">
        <v>12000000</v>
      </c>
      <c r="D21" s="47">
        <f>C21*15%</f>
        <v>1800000</v>
      </c>
      <c r="E21" s="47">
        <f>C21-F21-D21</f>
        <v>8160000</v>
      </c>
      <c r="F21" s="47">
        <f>C21*20%*85%</f>
        <v>2040000</v>
      </c>
      <c r="G21" s="48">
        <v>96000000</v>
      </c>
      <c r="H21" s="48">
        <f>G21*15%</f>
        <v>14400000</v>
      </c>
      <c r="I21" s="169">
        <f>G21-H21-J21</f>
        <v>65280000</v>
      </c>
      <c r="J21" s="48">
        <f>G21*20%*85%</f>
        <v>16320000</v>
      </c>
      <c r="K21" s="33"/>
      <c r="M21" s="129"/>
      <c r="N21" s="129"/>
      <c r="Q21" s="129"/>
    </row>
    <row r="22" spans="1:17" ht="54.75" customHeight="1" x14ac:dyDescent="0.35">
      <c r="A22" s="37" t="s">
        <v>29</v>
      </c>
      <c r="B22" s="43" t="s">
        <v>191</v>
      </c>
      <c r="C22" s="47">
        <v>28000000</v>
      </c>
      <c r="D22" s="47">
        <f>C22*15%</f>
        <v>4200000</v>
      </c>
      <c r="E22" s="47">
        <f>C22-F22-D22</f>
        <v>7140000</v>
      </c>
      <c r="F22" s="47">
        <f>C22*70%*85%</f>
        <v>16660000</v>
      </c>
      <c r="G22" s="48">
        <v>33150000</v>
      </c>
      <c r="H22" s="48">
        <f>G22*15%</f>
        <v>4972500</v>
      </c>
      <c r="I22" s="169">
        <f>G22-H22-J22</f>
        <v>8453250</v>
      </c>
      <c r="J22" s="48">
        <f>G22*70%*85%</f>
        <v>19724250</v>
      </c>
      <c r="K22" s="33"/>
      <c r="M22" s="129"/>
      <c r="N22" s="129"/>
      <c r="Q22" s="129"/>
    </row>
    <row r="23" spans="1:17" ht="32.25" customHeight="1" x14ac:dyDescent="0.35">
      <c r="A23" s="34" t="s">
        <v>21</v>
      </c>
      <c r="B23" s="44" t="s">
        <v>10</v>
      </c>
      <c r="C23" s="36">
        <v>1500000</v>
      </c>
      <c r="D23" s="36">
        <v>0</v>
      </c>
      <c r="E23" s="36">
        <f>C23-F23</f>
        <v>662000</v>
      </c>
      <c r="F23" s="36">
        <v>838000</v>
      </c>
      <c r="G23" s="45">
        <f>C23</f>
        <v>1500000</v>
      </c>
      <c r="H23" s="45">
        <v>0</v>
      </c>
      <c r="I23" s="32">
        <f t="shared" si="12"/>
        <v>662000</v>
      </c>
      <c r="J23" s="45">
        <f t="shared" si="13"/>
        <v>838000</v>
      </c>
      <c r="K23" s="33"/>
      <c r="M23" s="129"/>
      <c r="N23" s="129"/>
    </row>
    <row r="24" spans="1:17" ht="27" customHeight="1" x14ac:dyDescent="0.35">
      <c r="A24" s="34" t="s">
        <v>22</v>
      </c>
      <c r="B24" s="49" t="s">
        <v>11</v>
      </c>
      <c r="C24" s="45">
        <f>SUM(C25:C27)</f>
        <v>52400000</v>
      </c>
      <c r="D24" s="45">
        <f t="shared" ref="D24:F24" si="21">SUM(D25:D27)</f>
        <v>400000</v>
      </c>
      <c r="E24" s="45">
        <f t="shared" si="21"/>
        <v>26000000</v>
      </c>
      <c r="F24" s="45">
        <f t="shared" si="21"/>
        <v>26000000</v>
      </c>
      <c r="G24" s="45">
        <f t="shared" ref="G24:J24" si="22">SUM(G25:G27)</f>
        <v>61900000</v>
      </c>
      <c r="H24" s="45">
        <f t="shared" si="22"/>
        <v>400000</v>
      </c>
      <c r="I24" s="45">
        <f t="shared" si="22"/>
        <v>30750000</v>
      </c>
      <c r="J24" s="45">
        <f t="shared" si="22"/>
        <v>30750000</v>
      </c>
      <c r="K24" s="33"/>
      <c r="M24" s="129"/>
      <c r="N24" s="129"/>
      <c r="P24" s="129"/>
    </row>
    <row r="25" spans="1:17" ht="31.5" customHeight="1" x14ac:dyDescent="0.35">
      <c r="A25" s="37" t="s">
        <v>28</v>
      </c>
      <c r="B25" s="38" t="s">
        <v>192</v>
      </c>
      <c r="C25" s="39">
        <v>400000</v>
      </c>
      <c r="D25" s="39">
        <v>400000</v>
      </c>
      <c r="E25" s="39"/>
      <c r="F25" s="42">
        <v>0</v>
      </c>
      <c r="G25" s="40">
        <f>C25</f>
        <v>400000</v>
      </c>
      <c r="H25" s="40">
        <f>G25</f>
        <v>400000</v>
      </c>
      <c r="I25" s="169"/>
      <c r="J25" s="40">
        <f t="shared" si="13"/>
        <v>0</v>
      </c>
      <c r="K25" s="33"/>
      <c r="M25" s="129"/>
      <c r="N25" s="129"/>
    </row>
    <row r="26" spans="1:17" ht="24.75" customHeight="1" x14ac:dyDescent="0.35">
      <c r="A26" s="37" t="s">
        <v>29</v>
      </c>
      <c r="B26" s="38" t="s">
        <v>179</v>
      </c>
      <c r="C26" s="39">
        <v>1000000</v>
      </c>
      <c r="D26" s="39"/>
      <c r="E26" s="39">
        <f t="shared" si="11"/>
        <v>500000</v>
      </c>
      <c r="F26" s="42">
        <f>C26/2</f>
        <v>500000</v>
      </c>
      <c r="G26" s="40">
        <v>1500000</v>
      </c>
      <c r="H26" s="40"/>
      <c r="I26" s="169">
        <f t="shared" si="12"/>
        <v>750000</v>
      </c>
      <c r="J26" s="40">
        <f>G26/2</f>
        <v>750000</v>
      </c>
      <c r="K26" s="33"/>
      <c r="M26" s="129"/>
      <c r="N26" s="129"/>
    </row>
    <row r="27" spans="1:17" ht="31.5" customHeight="1" x14ac:dyDescent="0.35">
      <c r="A27" s="37" t="s">
        <v>30</v>
      </c>
      <c r="B27" s="38" t="s">
        <v>193</v>
      </c>
      <c r="C27" s="42">
        <v>51000000</v>
      </c>
      <c r="D27" s="42"/>
      <c r="E27" s="42">
        <f t="shared" si="11"/>
        <v>25500000</v>
      </c>
      <c r="F27" s="42">
        <f>C27/2</f>
        <v>25500000</v>
      </c>
      <c r="G27" s="40">
        <v>60000000</v>
      </c>
      <c r="H27" s="40"/>
      <c r="I27" s="169">
        <f t="shared" si="12"/>
        <v>30000000</v>
      </c>
      <c r="J27" s="40">
        <f>G27/2</f>
        <v>30000000</v>
      </c>
      <c r="K27" s="33"/>
      <c r="M27" s="129"/>
      <c r="N27" s="129"/>
    </row>
    <row r="28" spans="1:17" ht="24" customHeight="1" x14ac:dyDescent="0.35">
      <c r="A28" s="50" t="s">
        <v>23</v>
      </c>
      <c r="B28" s="44" t="s">
        <v>12</v>
      </c>
      <c r="C28" s="51">
        <v>8000000</v>
      </c>
      <c r="D28" s="51">
        <v>0</v>
      </c>
      <c r="E28" s="51">
        <f t="shared" si="11"/>
        <v>4000000</v>
      </c>
      <c r="F28" s="51">
        <f>C28/2</f>
        <v>4000000</v>
      </c>
      <c r="G28" s="45">
        <v>11500000</v>
      </c>
      <c r="H28" s="45">
        <v>0</v>
      </c>
      <c r="I28" s="32">
        <f t="shared" si="12"/>
        <v>5750000</v>
      </c>
      <c r="J28" s="45">
        <f>G28/2</f>
        <v>5750000</v>
      </c>
      <c r="K28" s="33"/>
      <c r="M28" s="129"/>
      <c r="N28" s="129"/>
      <c r="P28" s="129"/>
    </row>
    <row r="29" spans="1:17" ht="27.75" customHeight="1" x14ac:dyDescent="0.35">
      <c r="A29" s="50" t="s">
        <v>24</v>
      </c>
      <c r="B29" s="44" t="s">
        <v>194</v>
      </c>
      <c r="C29" s="51">
        <v>0</v>
      </c>
      <c r="D29" s="51"/>
      <c r="E29" s="51">
        <f t="shared" si="11"/>
        <v>0</v>
      </c>
      <c r="F29" s="42">
        <v>0</v>
      </c>
      <c r="G29" s="45">
        <v>36000000</v>
      </c>
      <c r="H29" s="45">
        <v>0</v>
      </c>
      <c r="I29" s="32">
        <f t="shared" si="12"/>
        <v>0</v>
      </c>
      <c r="J29" s="45">
        <f>G29</f>
        <v>36000000</v>
      </c>
      <c r="K29" s="33"/>
      <c r="M29" s="129"/>
      <c r="N29" s="129"/>
    </row>
    <row r="30" spans="1:17" ht="35.25" customHeight="1" x14ac:dyDescent="0.35">
      <c r="A30" s="34" t="s">
        <v>14</v>
      </c>
      <c r="B30" s="52" t="s">
        <v>7</v>
      </c>
      <c r="C30" s="45">
        <f t="shared" ref="C30:G30" si="23">SUM(C31:C32)</f>
        <v>121890000</v>
      </c>
      <c r="D30" s="45">
        <v>0</v>
      </c>
      <c r="E30" s="45">
        <f t="shared" si="11"/>
        <v>0</v>
      </c>
      <c r="F30" s="45">
        <f t="shared" si="23"/>
        <v>121890000</v>
      </c>
      <c r="G30" s="45">
        <f t="shared" si="23"/>
        <v>121890000</v>
      </c>
      <c r="H30" s="45">
        <v>0</v>
      </c>
      <c r="I30" s="32">
        <f t="shared" si="12"/>
        <v>0</v>
      </c>
      <c r="J30" s="45">
        <f>SUM(J31:J32)</f>
        <v>121890000</v>
      </c>
      <c r="K30" s="53"/>
      <c r="M30" s="129"/>
      <c r="N30" s="129"/>
    </row>
    <row r="31" spans="1:17" ht="29.25" customHeight="1" x14ac:dyDescent="0.35">
      <c r="A31" s="54">
        <v>1</v>
      </c>
      <c r="B31" s="41" t="s">
        <v>195</v>
      </c>
      <c r="C31" s="40">
        <f>F31</f>
        <v>98084000</v>
      </c>
      <c r="D31" s="40"/>
      <c r="E31" s="40">
        <f t="shared" si="11"/>
        <v>0</v>
      </c>
      <c r="F31" s="40">
        <f>98784000-700000</f>
        <v>98084000</v>
      </c>
      <c r="G31" s="40">
        <f>F31</f>
        <v>98084000</v>
      </c>
      <c r="H31" s="40"/>
      <c r="I31" s="32">
        <f t="shared" si="12"/>
        <v>0</v>
      </c>
      <c r="J31" s="40">
        <f>G31</f>
        <v>98084000</v>
      </c>
      <c r="K31" s="53"/>
      <c r="M31" s="129"/>
      <c r="N31" s="129"/>
    </row>
    <row r="32" spans="1:17" ht="31.5" customHeight="1" x14ac:dyDescent="0.35">
      <c r="A32" s="54">
        <v>2</v>
      </c>
      <c r="B32" s="41" t="s">
        <v>196</v>
      </c>
      <c r="C32" s="40">
        <f>F32</f>
        <v>23806000</v>
      </c>
      <c r="D32" s="40"/>
      <c r="E32" s="40">
        <f t="shared" si="11"/>
        <v>0</v>
      </c>
      <c r="F32" s="40">
        <v>23806000</v>
      </c>
      <c r="G32" s="40">
        <f>F32</f>
        <v>23806000</v>
      </c>
      <c r="H32" s="40"/>
      <c r="I32" s="32">
        <f t="shared" si="12"/>
        <v>0</v>
      </c>
      <c r="J32" s="40">
        <f>G32</f>
        <v>23806000</v>
      </c>
      <c r="K32" s="55"/>
      <c r="M32" s="129"/>
      <c r="N32" s="129"/>
    </row>
    <row r="33" spans="1:14" ht="28.5" customHeight="1" x14ac:dyDescent="0.35">
      <c r="A33" s="34" t="s">
        <v>15</v>
      </c>
      <c r="B33" s="35" t="s">
        <v>197</v>
      </c>
      <c r="C33" s="56">
        <v>0</v>
      </c>
      <c r="D33" s="56">
        <v>0</v>
      </c>
      <c r="E33" s="56">
        <f t="shared" si="11"/>
        <v>0</v>
      </c>
      <c r="F33" s="56">
        <v>0</v>
      </c>
      <c r="G33" s="45">
        <f>G35</f>
        <v>11200000</v>
      </c>
      <c r="H33" s="45">
        <v>0</v>
      </c>
      <c r="I33" s="32">
        <f t="shared" si="12"/>
        <v>0</v>
      </c>
      <c r="J33" s="45">
        <f>J35</f>
        <v>11200000</v>
      </c>
      <c r="K33" s="53"/>
      <c r="M33" s="129"/>
      <c r="N33" s="129"/>
    </row>
    <row r="34" spans="1:14" ht="30" customHeight="1" x14ac:dyDescent="0.35">
      <c r="A34" s="57">
        <v>1</v>
      </c>
      <c r="B34" s="41" t="s">
        <v>8</v>
      </c>
      <c r="C34" s="58">
        <v>0</v>
      </c>
      <c r="D34" s="58"/>
      <c r="E34" s="58">
        <f t="shared" si="11"/>
        <v>0</v>
      </c>
      <c r="F34" s="58">
        <v>0</v>
      </c>
      <c r="G34" s="45">
        <v>0</v>
      </c>
      <c r="H34" s="45"/>
      <c r="I34" s="32">
        <f t="shared" si="12"/>
        <v>0</v>
      </c>
      <c r="J34" s="45">
        <v>0</v>
      </c>
      <c r="K34" s="33"/>
      <c r="M34" s="129"/>
      <c r="N34" s="129"/>
    </row>
    <row r="35" spans="1:14" ht="33" customHeight="1" x14ac:dyDescent="0.35">
      <c r="A35" s="212">
        <v>2</v>
      </c>
      <c r="B35" s="41" t="s">
        <v>198</v>
      </c>
      <c r="C35" s="58">
        <v>0</v>
      </c>
      <c r="D35" s="58"/>
      <c r="E35" s="58">
        <f t="shared" si="11"/>
        <v>0</v>
      </c>
      <c r="F35" s="58">
        <v>0</v>
      </c>
      <c r="G35" s="40">
        <f>5900000+300000+3000000+2000000</f>
        <v>11200000</v>
      </c>
      <c r="H35" s="40"/>
      <c r="I35" s="169">
        <f t="shared" si="12"/>
        <v>0</v>
      </c>
      <c r="J35" s="40">
        <f>G35</f>
        <v>11200000</v>
      </c>
      <c r="K35" s="59"/>
      <c r="M35" s="129"/>
      <c r="N35" s="129"/>
    </row>
    <row r="36" spans="1:14" ht="15" customHeight="1" x14ac:dyDescent="0.35">
      <c r="A36" s="206"/>
      <c r="B36" s="207"/>
      <c r="C36" s="213"/>
      <c r="D36" s="213"/>
      <c r="E36" s="213"/>
      <c r="F36" s="213"/>
      <c r="G36" s="214"/>
      <c r="H36" s="214"/>
      <c r="I36" s="215"/>
      <c r="J36" s="214"/>
      <c r="K36" s="216"/>
      <c r="M36" s="129"/>
      <c r="N36" s="129"/>
    </row>
    <row r="37" spans="1:14" ht="20.25" customHeight="1" x14ac:dyDescent="0.35">
      <c r="C37" s="219" t="s">
        <v>395</v>
      </c>
      <c r="D37" s="219"/>
      <c r="E37" s="219"/>
      <c r="F37" s="219"/>
      <c r="G37" s="219"/>
      <c r="H37" s="219"/>
      <c r="I37" s="219"/>
      <c r="J37" s="219"/>
      <c r="K37" s="219"/>
    </row>
  </sheetData>
  <mergeCells count="12">
    <mergeCell ref="A1:J1"/>
    <mergeCell ref="A2:J2"/>
    <mergeCell ref="A3:K3"/>
    <mergeCell ref="C37:K37"/>
    <mergeCell ref="G4:K4"/>
    <mergeCell ref="A5:A6"/>
    <mergeCell ref="B5:B6"/>
    <mergeCell ref="K5:K6"/>
    <mergeCell ref="D5:F5"/>
    <mergeCell ref="C5:C6"/>
    <mergeCell ref="H5:J5"/>
    <mergeCell ref="G5:G6"/>
  </mergeCells>
  <pageMargins left="0.32" right="0.2" top="0.31" bottom="0.33" header="0.3" footer="0.3"/>
  <pageSetup paperSize="9" scale="68"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workbookViewId="0">
      <selection activeCell="D5" sqref="D5:L5"/>
    </sheetView>
  </sheetViews>
  <sheetFormatPr defaultRowHeight="14.5" x14ac:dyDescent="0.35"/>
  <cols>
    <col min="1" max="1" width="6" customWidth="1"/>
    <col min="2" max="2" width="35.81640625" customWidth="1"/>
    <col min="3" max="4" width="11.1796875" customWidth="1"/>
    <col min="6" max="6" width="10.54296875" customWidth="1"/>
    <col min="7" max="7" width="11" customWidth="1"/>
    <col min="8" max="8" width="11.1796875" customWidth="1"/>
    <col min="9" max="9" width="11.81640625" bestFit="1" customWidth="1"/>
    <col min="11" max="11" width="10.26953125" bestFit="1" customWidth="1"/>
    <col min="12" max="12" width="7" customWidth="1"/>
  </cols>
  <sheetData>
    <row r="1" spans="1:12" x14ac:dyDescent="0.35">
      <c r="A1" s="1"/>
      <c r="B1" s="1"/>
      <c r="C1" s="1"/>
      <c r="D1" s="1"/>
      <c r="E1" s="1"/>
      <c r="F1" s="1"/>
      <c r="G1" s="1"/>
      <c r="H1" s="1"/>
      <c r="I1" s="278" t="s">
        <v>132</v>
      </c>
      <c r="J1" s="278"/>
      <c r="K1" s="278"/>
      <c r="L1" s="278"/>
    </row>
    <row r="2" spans="1:12" ht="21.75" customHeight="1" x14ac:dyDescent="0.35">
      <c r="A2" s="269" t="s">
        <v>163</v>
      </c>
      <c r="B2" s="269"/>
      <c r="C2" s="269"/>
      <c r="D2" s="269"/>
      <c r="E2" s="269"/>
      <c r="F2" s="269"/>
      <c r="G2" s="269"/>
      <c r="H2" s="269"/>
      <c r="I2" s="269"/>
      <c r="J2" s="269"/>
      <c r="K2" s="269"/>
      <c r="L2" s="269"/>
    </row>
    <row r="3" spans="1:12" x14ac:dyDescent="0.35">
      <c r="A3" s="270" t="s">
        <v>467</v>
      </c>
      <c r="B3" s="270"/>
      <c r="C3" s="270"/>
      <c r="D3" s="270"/>
      <c r="E3" s="270"/>
      <c r="F3" s="270"/>
      <c r="G3" s="270"/>
      <c r="H3" s="270"/>
      <c r="I3" s="270"/>
      <c r="J3" s="270"/>
      <c r="K3" s="270"/>
      <c r="L3" s="270"/>
    </row>
    <row r="4" spans="1:12" x14ac:dyDescent="0.35">
      <c r="A4" s="1"/>
      <c r="B4" s="1"/>
      <c r="C4" s="1"/>
      <c r="D4" s="1"/>
      <c r="E4" s="1"/>
      <c r="F4" s="1"/>
      <c r="G4" s="1"/>
      <c r="H4" s="1"/>
      <c r="I4" s="273" t="s">
        <v>46</v>
      </c>
      <c r="J4" s="273"/>
      <c r="K4" s="273"/>
      <c r="L4" s="273"/>
    </row>
    <row r="5" spans="1:12" ht="20.5" customHeight="1" x14ac:dyDescent="0.35">
      <c r="A5" s="266" t="s">
        <v>48</v>
      </c>
      <c r="B5" s="266" t="s">
        <v>119</v>
      </c>
      <c r="C5" s="266" t="s">
        <v>120</v>
      </c>
      <c r="D5" s="287" t="s">
        <v>146</v>
      </c>
      <c r="E5" s="289"/>
      <c r="F5" s="289"/>
      <c r="G5" s="289"/>
      <c r="H5" s="289"/>
      <c r="I5" s="289"/>
      <c r="J5" s="289"/>
      <c r="K5" s="289"/>
      <c r="L5" s="288"/>
    </row>
    <row r="6" spans="1:12" ht="16.5" customHeight="1" x14ac:dyDescent="0.35">
      <c r="A6" s="290"/>
      <c r="B6" s="290"/>
      <c r="C6" s="290"/>
      <c r="D6" s="266" t="s">
        <v>135</v>
      </c>
      <c r="E6" s="266" t="s">
        <v>136</v>
      </c>
      <c r="F6" s="266" t="s">
        <v>137</v>
      </c>
      <c r="G6" s="266" t="s">
        <v>138</v>
      </c>
      <c r="H6" s="266" t="s">
        <v>139</v>
      </c>
      <c r="I6" s="287" t="s">
        <v>134</v>
      </c>
      <c r="J6" s="288"/>
      <c r="K6" s="266" t="s">
        <v>142</v>
      </c>
      <c r="L6" s="266" t="s">
        <v>143</v>
      </c>
    </row>
    <row r="7" spans="1:12" ht="58.5" customHeight="1" x14ac:dyDescent="0.35">
      <c r="A7" s="267"/>
      <c r="B7" s="267"/>
      <c r="C7" s="267"/>
      <c r="D7" s="267"/>
      <c r="E7" s="267"/>
      <c r="F7" s="267"/>
      <c r="G7" s="267"/>
      <c r="H7" s="267"/>
      <c r="I7" s="27" t="s">
        <v>140</v>
      </c>
      <c r="J7" s="27" t="s">
        <v>141</v>
      </c>
      <c r="K7" s="267"/>
      <c r="L7" s="267"/>
    </row>
    <row r="8" spans="1:12" ht="21" customHeight="1" x14ac:dyDescent="0.35">
      <c r="A8" s="5" t="s">
        <v>4</v>
      </c>
      <c r="B8" s="5" t="s">
        <v>14</v>
      </c>
      <c r="C8" s="5">
        <v>1</v>
      </c>
      <c r="D8" s="5">
        <v>2</v>
      </c>
      <c r="E8" s="5">
        <v>3</v>
      </c>
      <c r="F8" s="5">
        <v>4</v>
      </c>
      <c r="G8" s="5">
        <v>5</v>
      </c>
      <c r="H8" s="5">
        <v>6</v>
      </c>
      <c r="I8" s="5">
        <v>7</v>
      </c>
      <c r="J8" s="5">
        <v>8</v>
      </c>
      <c r="K8" s="5">
        <v>9</v>
      </c>
      <c r="L8" s="5">
        <v>10</v>
      </c>
    </row>
    <row r="9" spans="1:12" ht="22.5" customHeight="1" x14ac:dyDescent="0.35">
      <c r="A9" s="7"/>
      <c r="B9" s="20" t="s">
        <v>122</v>
      </c>
      <c r="C9" s="16">
        <f>SUM(C10:C21)</f>
        <v>43925</v>
      </c>
      <c r="D9" s="16">
        <f>D17</f>
        <v>8000</v>
      </c>
      <c r="E9" s="7"/>
      <c r="F9" s="7"/>
      <c r="G9" s="7"/>
      <c r="H9" s="7"/>
      <c r="I9" s="16">
        <f>I10+I11+I12+I13+I14+I15+I16+I21</f>
        <v>32975</v>
      </c>
      <c r="J9" s="16">
        <f>J18</f>
        <v>2600</v>
      </c>
      <c r="K9" s="16">
        <f>K19+K20</f>
        <v>2950</v>
      </c>
      <c r="L9" s="7"/>
    </row>
    <row r="10" spans="1:12" ht="36" customHeight="1" x14ac:dyDescent="0.35">
      <c r="A10" s="5">
        <v>1</v>
      </c>
      <c r="B10" s="3" t="s">
        <v>414</v>
      </c>
      <c r="C10" s="15">
        <f t="shared" ref="C10:C21" si="0">D10+I10+K10</f>
        <v>4600</v>
      </c>
      <c r="D10" s="15"/>
      <c r="E10" s="2"/>
      <c r="F10" s="2"/>
      <c r="G10" s="2"/>
      <c r="H10" s="2"/>
      <c r="I10" s="15">
        <v>4600</v>
      </c>
      <c r="J10" s="2"/>
      <c r="K10" s="2"/>
      <c r="L10" s="2"/>
    </row>
    <row r="11" spans="1:12" ht="29.25" customHeight="1" x14ac:dyDescent="0.35">
      <c r="A11" s="5">
        <v>2</v>
      </c>
      <c r="B11" s="3" t="s">
        <v>378</v>
      </c>
      <c r="C11" s="15">
        <f t="shared" si="0"/>
        <v>1600</v>
      </c>
      <c r="D11" s="2"/>
      <c r="E11" s="2"/>
      <c r="F11" s="2"/>
      <c r="G11" s="2"/>
      <c r="H11" s="2"/>
      <c r="I11" s="15">
        <v>1600</v>
      </c>
      <c r="J11" s="2"/>
      <c r="K11" s="2"/>
      <c r="L11" s="2"/>
    </row>
    <row r="12" spans="1:12" ht="36" customHeight="1" x14ac:dyDescent="0.35">
      <c r="A12" s="5">
        <v>3</v>
      </c>
      <c r="B12" s="3" t="s">
        <v>379</v>
      </c>
      <c r="C12" s="15">
        <f t="shared" si="0"/>
        <v>7000</v>
      </c>
      <c r="D12" s="2"/>
      <c r="E12" s="2"/>
      <c r="F12" s="2"/>
      <c r="G12" s="2"/>
      <c r="H12" s="2"/>
      <c r="I12" s="15">
        <v>7000</v>
      </c>
      <c r="J12" s="2"/>
      <c r="K12" s="15"/>
      <c r="L12" s="2"/>
    </row>
    <row r="13" spans="1:12" ht="36.75" customHeight="1" x14ac:dyDescent="0.35">
      <c r="A13" s="5">
        <v>4</v>
      </c>
      <c r="B13" s="3" t="s">
        <v>380</v>
      </c>
      <c r="C13" s="15">
        <f t="shared" si="0"/>
        <v>4800</v>
      </c>
      <c r="D13" s="2"/>
      <c r="E13" s="2"/>
      <c r="F13" s="2"/>
      <c r="G13" s="2"/>
      <c r="H13" s="2"/>
      <c r="I13" s="15">
        <v>4800</v>
      </c>
      <c r="J13" s="2"/>
      <c r="K13" s="15"/>
      <c r="L13" s="2"/>
    </row>
    <row r="14" spans="1:12" ht="21" customHeight="1" x14ac:dyDescent="0.35">
      <c r="A14" s="5">
        <v>5</v>
      </c>
      <c r="B14" s="3" t="s">
        <v>381</v>
      </c>
      <c r="C14" s="15">
        <f t="shared" si="0"/>
        <v>700</v>
      </c>
      <c r="D14" s="15"/>
      <c r="E14" s="2"/>
      <c r="F14" s="2"/>
      <c r="G14" s="2"/>
      <c r="H14" s="2"/>
      <c r="I14" s="2">
        <v>700</v>
      </c>
      <c r="J14" s="2"/>
      <c r="K14" s="2"/>
      <c r="L14" s="2"/>
    </row>
    <row r="15" spans="1:12" ht="33" customHeight="1" x14ac:dyDescent="0.35">
      <c r="A15" s="5">
        <v>6</v>
      </c>
      <c r="B15" s="3" t="s">
        <v>390</v>
      </c>
      <c r="C15" s="15">
        <f t="shared" si="0"/>
        <v>5000</v>
      </c>
      <c r="D15" s="15"/>
      <c r="E15" s="2"/>
      <c r="F15" s="2"/>
      <c r="G15" s="2"/>
      <c r="H15" s="2"/>
      <c r="I15" s="15">
        <v>5000</v>
      </c>
      <c r="J15" s="2"/>
      <c r="K15" s="2"/>
      <c r="L15" s="2"/>
    </row>
    <row r="16" spans="1:12" ht="39.75" customHeight="1" x14ac:dyDescent="0.35">
      <c r="A16" s="5">
        <v>7</v>
      </c>
      <c r="B16" s="3" t="s">
        <v>391</v>
      </c>
      <c r="C16" s="15">
        <f t="shared" si="0"/>
        <v>5000</v>
      </c>
      <c r="D16" s="15"/>
      <c r="E16" s="2"/>
      <c r="F16" s="2"/>
      <c r="G16" s="2"/>
      <c r="H16" s="2"/>
      <c r="I16" s="15">
        <v>5000</v>
      </c>
      <c r="J16" s="2"/>
      <c r="K16" s="2"/>
      <c r="L16" s="2"/>
    </row>
    <row r="17" spans="1:12" ht="34.5" customHeight="1" x14ac:dyDescent="0.35">
      <c r="A17" s="5">
        <v>8</v>
      </c>
      <c r="B17" s="3" t="s">
        <v>384</v>
      </c>
      <c r="C17" s="15">
        <f t="shared" si="0"/>
        <v>8000</v>
      </c>
      <c r="D17" s="15">
        <v>8000</v>
      </c>
      <c r="E17" s="2"/>
      <c r="F17" s="2"/>
      <c r="G17" s="2"/>
      <c r="H17" s="2"/>
      <c r="I17" s="2"/>
      <c r="J17" s="2"/>
      <c r="K17" s="2"/>
      <c r="L17" s="2"/>
    </row>
    <row r="18" spans="1:12" ht="62.5" customHeight="1" x14ac:dyDescent="0.35">
      <c r="A18" s="5">
        <v>9</v>
      </c>
      <c r="B18" s="3" t="s">
        <v>466</v>
      </c>
      <c r="C18" s="15">
        <f t="shared" si="0"/>
        <v>0</v>
      </c>
      <c r="D18" s="15"/>
      <c r="E18" s="2"/>
      <c r="F18" s="2"/>
      <c r="G18" s="2"/>
      <c r="H18" s="2"/>
      <c r="I18" s="2"/>
      <c r="J18" s="15">
        <v>2600</v>
      </c>
      <c r="K18" s="2"/>
      <c r="L18" s="2"/>
    </row>
    <row r="19" spans="1:12" ht="34.5" customHeight="1" x14ac:dyDescent="0.35">
      <c r="A19" s="5">
        <v>10</v>
      </c>
      <c r="B19" s="156" t="s">
        <v>386</v>
      </c>
      <c r="C19" s="15">
        <f t="shared" si="0"/>
        <v>700</v>
      </c>
      <c r="D19" s="15"/>
      <c r="E19" s="2"/>
      <c r="F19" s="2"/>
      <c r="G19" s="2"/>
      <c r="H19" s="2"/>
      <c r="I19" s="2"/>
      <c r="J19" s="2"/>
      <c r="K19" s="2">
        <v>700</v>
      </c>
      <c r="L19" s="2"/>
    </row>
    <row r="20" spans="1:12" ht="34.5" customHeight="1" x14ac:dyDescent="0.35">
      <c r="A20" s="5">
        <v>11</v>
      </c>
      <c r="B20" s="156" t="s">
        <v>387</v>
      </c>
      <c r="C20" s="15">
        <f t="shared" si="0"/>
        <v>2250</v>
      </c>
      <c r="D20" s="15"/>
      <c r="E20" s="2"/>
      <c r="F20" s="2"/>
      <c r="G20" s="2"/>
      <c r="H20" s="2"/>
      <c r="I20" s="2"/>
      <c r="J20" s="2"/>
      <c r="K20" s="15">
        <v>2250</v>
      </c>
      <c r="L20" s="2"/>
    </row>
    <row r="21" spans="1:12" ht="20.5" customHeight="1" x14ac:dyDescent="0.35">
      <c r="A21" s="5">
        <v>12</v>
      </c>
      <c r="B21" s="3" t="s">
        <v>415</v>
      </c>
      <c r="C21" s="15">
        <f t="shared" si="0"/>
        <v>4275</v>
      </c>
      <c r="D21" s="15"/>
      <c r="E21" s="2"/>
      <c r="F21" s="2"/>
      <c r="G21" s="2"/>
      <c r="H21" s="2"/>
      <c r="I21" s="196">
        <v>4275</v>
      </c>
      <c r="J21" s="2"/>
      <c r="K21" s="2"/>
      <c r="L21" s="2"/>
    </row>
    <row r="22" spans="1:12" ht="23.25" customHeight="1" x14ac:dyDescent="0.35">
      <c r="A22" s="1"/>
      <c r="B22" s="1"/>
      <c r="C22" s="1"/>
      <c r="D22" s="1"/>
      <c r="E22" s="1"/>
      <c r="F22" s="268" t="s">
        <v>72</v>
      </c>
      <c r="G22" s="268"/>
      <c r="H22" s="268"/>
      <c r="I22" s="268"/>
      <c r="J22" s="268"/>
      <c r="K22" s="268"/>
      <c r="L22" s="268"/>
    </row>
  </sheetData>
  <mergeCells count="17">
    <mergeCell ref="F22:L22"/>
    <mergeCell ref="L6:L7"/>
    <mergeCell ref="A2:L2"/>
    <mergeCell ref="A3:L3"/>
    <mergeCell ref="A5:A7"/>
    <mergeCell ref="B5:B7"/>
    <mergeCell ref="C5:C7"/>
    <mergeCell ref="I1:L1"/>
    <mergeCell ref="E6:E7"/>
    <mergeCell ref="F6:F7"/>
    <mergeCell ref="G6:G7"/>
    <mergeCell ref="H6:H7"/>
    <mergeCell ref="I6:J6"/>
    <mergeCell ref="K6:K7"/>
    <mergeCell ref="I4:L4"/>
    <mergeCell ref="D5:L5"/>
    <mergeCell ref="D6:D7"/>
  </mergeCells>
  <pageMargins left="0.24" right="0.3" top="0.57999999999999996" bottom="0.37" header="0.3" footer="0.3"/>
  <pageSetup paperSize="9" scale="98" fitToHeight="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workbookViewId="0">
      <selection activeCell="L20" sqref="L20"/>
    </sheetView>
  </sheetViews>
  <sheetFormatPr defaultRowHeight="14.5" x14ac:dyDescent="0.35"/>
  <cols>
    <col min="1" max="1" width="4.81640625" customWidth="1"/>
    <col min="2" max="2" width="30.453125" customWidth="1"/>
    <col min="3" max="3" width="10" customWidth="1"/>
    <col min="4" max="4" width="10.26953125" customWidth="1"/>
    <col min="5" max="6" width="8" customWidth="1"/>
    <col min="7" max="7" width="5.81640625" customWidth="1"/>
    <col min="8" max="8" width="7.1796875" customWidth="1"/>
    <col min="9" max="9" width="7.54296875" customWidth="1"/>
    <col min="10" max="10" width="8.7265625" customWidth="1"/>
    <col min="11" max="11" width="7.81640625" customWidth="1"/>
    <col min="12" max="12" width="10.1796875" customWidth="1"/>
    <col min="13" max="13" width="9.81640625" customWidth="1"/>
    <col min="14" max="14" width="8.7265625" customWidth="1"/>
    <col min="15" max="15" width="8.453125" customWidth="1"/>
  </cols>
  <sheetData>
    <row r="1" spans="1:16" x14ac:dyDescent="0.35">
      <c r="A1" s="1"/>
      <c r="B1" s="1"/>
      <c r="C1" s="1"/>
      <c r="D1" s="1"/>
      <c r="E1" s="1"/>
      <c r="F1" s="1"/>
      <c r="G1" s="1"/>
      <c r="H1" s="1"/>
      <c r="I1" s="1"/>
      <c r="J1" s="1"/>
      <c r="K1" s="1"/>
      <c r="L1" s="1"/>
      <c r="M1" s="1"/>
      <c r="N1" s="1" t="s">
        <v>144</v>
      </c>
      <c r="O1" s="1"/>
    </row>
    <row r="2" spans="1:16" x14ac:dyDescent="0.35">
      <c r="A2" s="269" t="s">
        <v>416</v>
      </c>
      <c r="B2" s="269"/>
      <c r="C2" s="269"/>
      <c r="D2" s="269"/>
      <c r="E2" s="269"/>
      <c r="F2" s="269"/>
      <c r="G2" s="269"/>
      <c r="H2" s="269"/>
      <c r="I2" s="269"/>
      <c r="J2" s="269"/>
      <c r="K2" s="269"/>
      <c r="L2" s="269"/>
      <c r="M2" s="269"/>
      <c r="N2" s="269"/>
      <c r="O2" s="269"/>
    </row>
    <row r="3" spans="1:16" x14ac:dyDescent="0.35">
      <c r="A3" s="270" t="s">
        <v>467</v>
      </c>
      <c r="B3" s="270"/>
      <c r="C3" s="270"/>
      <c r="D3" s="270"/>
      <c r="E3" s="270"/>
      <c r="F3" s="270"/>
      <c r="G3" s="270"/>
      <c r="H3" s="270"/>
      <c r="I3" s="270"/>
      <c r="J3" s="270"/>
      <c r="K3" s="270"/>
      <c r="L3" s="270"/>
      <c r="M3" s="270"/>
      <c r="N3" s="270"/>
      <c r="O3" s="270"/>
    </row>
    <row r="4" spans="1:16" x14ac:dyDescent="0.35">
      <c r="A4" s="1"/>
      <c r="B4" s="1"/>
      <c r="C4" s="1"/>
      <c r="D4" s="1"/>
      <c r="E4" s="1"/>
      <c r="F4" s="1"/>
      <c r="G4" s="1"/>
      <c r="H4" s="1"/>
      <c r="I4" s="1"/>
      <c r="J4" s="1"/>
      <c r="K4" s="1"/>
      <c r="L4" s="273" t="s">
        <v>145</v>
      </c>
      <c r="M4" s="273"/>
      <c r="N4" s="273"/>
      <c r="O4" s="273"/>
    </row>
    <row r="5" spans="1:16" ht="17.25" customHeight="1" x14ac:dyDescent="0.35">
      <c r="A5" s="281" t="s">
        <v>48</v>
      </c>
      <c r="B5" s="281" t="s">
        <v>119</v>
      </c>
      <c r="C5" s="281" t="s">
        <v>122</v>
      </c>
      <c r="D5" s="295" t="s">
        <v>146</v>
      </c>
      <c r="E5" s="296"/>
      <c r="F5" s="296"/>
      <c r="G5" s="296"/>
      <c r="H5" s="296"/>
      <c r="I5" s="296"/>
      <c r="J5" s="296"/>
      <c r="K5" s="296"/>
      <c r="L5" s="296"/>
      <c r="M5" s="296"/>
      <c r="N5" s="296"/>
      <c r="O5" s="297"/>
      <c r="P5" s="13"/>
    </row>
    <row r="6" spans="1:16" ht="29.5" customHeight="1" x14ac:dyDescent="0.35">
      <c r="A6" s="298"/>
      <c r="B6" s="298"/>
      <c r="C6" s="298"/>
      <c r="D6" s="281" t="s">
        <v>147</v>
      </c>
      <c r="E6" s="281" t="s">
        <v>148</v>
      </c>
      <c r="F6" s="281" t="s">
        <v>149</v>
      </c>
      <c r="G6" s="281" t="s">
        <v>150</v>
      </c>
      <c r="H6" s="291" t="s">
        <v>180</v>
      </c>
      <c r="I6" s="281" t="s">
        <v>151</v>
      </c>
      <c r="J6" s="281" t="s">
        <v>152</v>
      </c>
      <c r="K6" s="293" t="s">
        <v>146</v>
      </c>
      <c r="L6" s="294"/>
      <c r="M6" s="291" t="s">
        <v>153</v>
      </c>
      <c r="N6" s="281" t="s">
        <v>155</v>
      </c>
      <c r="O6" s="291" t="s">
        <v>156</v>
      </c>
      <c r="P6" s="13"/>
    </row>
    <row r="7" spans="1:16" ht="71.5" customHeight="1" x14ac:dyDescent="0.35">
      <c r="A7" s="282"/>
      <c r="B7" s="282"/>
      <c r="C7" s="282"/>
      <c r="D7" s="282"/>
      <c r="E7" s="282"/>
      <c r="F7" s="282"/>
      <c r="G7" s="282"/>
      <c r="H7" s="292"/>
      <c r="I7" s="282"/>
      <c r="J7" s="282"/>
      <c r="K7" s="160" t="s">
        <v>154</v>
      </c>
      <c r="L7" s="160" t="s">
        <v>417</v>
      </c>
      <c r="M7" s="292"/>
      <c r="N7" s="282"/>
      <c r="O7" s="292"/>
      <c r="P7" s="13"/>
    </row>
    <row r="8" spans="1:16" x14ac:dyDescent="0.35">
      <c r="A8" s="14" t="s">
        <v>4</v>
      </c>
      <c r="B8" s="14" t="s">
        <v>14</v>
      </c>
      <c r="C8" s="14">
        <v>1</v>
      </c>
      <c r="D8" s="14">
        <v>2</v>
      </c>
      <c r="E8" s="14">
        <v>3</v>
      </c>
      <c r="F8" s="14">
        <v>4</v>
      </c>
      <c r="G8" s="14">
        <v>5</v>
      </c>
      <c r="H8" s="14">
        <v>6</v>
      </c>
      <c r="I8" s="14">
        <v>7</v>
      </c>
      <c r="J8" s="14">
        <v>8</v>
      </c>
      <c r="K8" s="14">
        <v>9</v>
      </c>
      <c r="L8" s="14">
        <v>10</v>
      </c>
      <c r="M8" s="14">
        <v>11</v>
      </c>
      <c r="N8" s="14">
        <v>12</v>
      </c>
      <c r="O8" s="14">
        <v>13</v>
      </c>
    </row>
    <row r="9" spans="1:16" x14ac:dyDescent="0.35">
      <c r="A9" s="21"/>
      <c r="B9" s="21" t="s">
        <v>122</v>
      </c>
      <c r="C9" s="23">
        <f>D9+E9+F9+G9+H9+I9+J9+M9+N9+O9</f>
        <v>165493000</v>
      </c>
      <c r="D9" s="23">
        <f>D13+D14+D15+D16+D17+D18+D19+D20+D21</f>
        <v>84780000</v>
      </c>
      <c r="E9" s="23">
        <f>E22</f>
        <v>1273920</v>
      </c>
      <c r="F9" s="23">
        <f>F23</f>
        <v>1893640</v>
      </c>
      <c r="G9" s="23">
        <f>G24</f>
        <v>50000</v>
      </c>
      <c r="H9" s="23">
        <f>H25</f>
        <v>440000</v>
      </c>
      <c r="I9" s="23">
        <f>I27</f>
        <v>2460000</v>
      </c>
      <c r="J9" s="23">
        <f>J28</f>
        <v>12200000</v>
      </c>
      <c r="K9" s="23">
        <f>K28</f>
        <v>1820000</v>
      </c>
      <c r="L9" s="23">
        <f>L28</f>
        <v>10380000</v>
      </c>
      <c r="M9" s="23">
        <f>M10+M11+M12</f>
        <v>31685946</v>
      </c>
      <c r="N9" s="23">
        <f>N26</f>
        <v>27649494</v>
      </c>
      <c r="O9" s="23">
        <f>O29</f>
        <v>3060000</v>
      </c>
    </row>
    <row r="10" spans="1:16" x14ac:dyDescent="0.35">
      <c r="A10" s="14">
        <v>1</v>
      </c>
      <c r="B10" s="25" t="s">
        <v>175</v>
      </c>
      <c r="C10" s="164">
        <f t="shared" ref="C10:C29" si="0">D10+E10+F10+G10+H10+I10+J10+K10+L10+M10+N10+O10</f>
        <v>17609348</v>
      </c>
      <c r="D10" s="10"/>
      <c r="E10" s="10"/>
      <c r="F10" s="10"/>
      <c r="G10" s="10"/>
      <c r="H10" s="10"/>
      <c r="I10" s="10"/>
      <c r="J10" s="10"/>
      <c r="K10" s="10"/>
      <c r="L10" s="10"/>
      <c r="M10" s="24">
        <f>17679348-70000</f>
        <v>17609348</v>
      </c>
      <c r="N10" s="10"/>
      <c r="O10" s="10"/>
    </row>
    <row r="11" spans="1:16" x14ac:dyDescent="0.35">
      <c r="A11" s="14">
        <v>2</v>
      </c>
      <c r="B11" s="10" t="s">
        <v>123</v>
      </c>
      <c r="C11" s="164">
        <f t="shared" si="0"/>
        <v>10004309</v>
      </c>
      <c r="D11" s="10"/>
      <c r="E11" s="10"/>
      <c r="F11" s="24"/>
      <c r="G11" s="10"/>
      <c r="H11" s="10"/>
      <c r="I11" s="10"/>
      <c r="J11" s="24"/>
      <c r="K11" s="10"/>
      <c r="L11" s="10"/>
      <c r="M11" s="24">
        <f>9934309+70000</f>
        <v>10004309</v>
      </c>
      <c r="N11" s="10"/>
      <c r="O11" s="10"/>
    </row>
    <row r="12" spans="1:16" x14ac:dyDescent="0.35">
      <c r="A12" s="14">
        <v>3</v>
      </c>
      <c r="B12" s="11" t="s">
        <v>124</v>
      </c>
      <c r="C12" s="164">
        <f t="shared" si="0"/>
        <v>4072289</v>
      </c>
      <c r="D12" s="10"/>
      <c r="E12" s="10"/>
      <c r="F12" s="10"/>
      <c r="G12" s="10"/>
      <c r="H12" s="10"/>
      <c r="I12" s="10"/>
      <c r="J12" s="10"/>
      <c r="K12" s="10"/>
      <c r="L12" s="10"/>
      <c r="M12" s="24">
        <v>4072289</v>
      </c>
      <c r="N12" s="10"/>
      <c r="O12" s="10"/>
    </row>
    <row r="13" spans="1:16" x14ac:dyDescent="0.35">
      <c r="A13" s="14">
        <v>4</v>
      </c>
      <c r="B13" s="11" t="s">
        <v>168</v>
      </c>
      <c r="C13" s="164">
        <f t="shared" si="0"/>
        <v>5542824</v>
      </c>
      <c r="D13" s="24">
        <v>5542824</v>
      </c>
      <c r="E13" s="10"/>
      <c r="F13" s="24"/>
      <c r="G13" s="10"/>
      <c r="H13" s="10"/>
      <c r="I13" s="10"/>
      <c r="J13" s="10"/>
      <c r="K13" s="10"/>
      <c r="L13" s="10"/>
      <c r="M13" s="10"/>
      <c r="N13" s="10"/>
      <c r="O13" s="10"/>
    </row>
    <row r="14" spans="1:16" x14ac:dyDescent="0.35">
      <c r="A14" s="14">
        <v>5</v>
      </c>
      <c r="B14" s="10" t="s">
        <v>169</v>
      </c>
      <c r="C14" s="164">
        <f t="shared" si="0"/>
        <v>9053987</v>
      </c>
      <c r="D14" s="24">
        <v>9053987</v>
      </c>
      <c r="E14" s="10"/>
      <c r="F14" s="24"/>
      <c r="G14" s="10"/>
      <c r="H14" s="10"/>
      <c r="I14" s="10"/>
      <c r="J14" s="10"/>
      <c r="K14" s="10"/>
      <c r="L14" s="10"/>
      <c r="M14" s="10"/>
      <c r="N14" s="10"/>
      <c r="O14" s="10"/>
    </row>
    <row r="15" spans="1:16" x14ac:dyDescent="0.35">
      <c r="A15" s="14">
        <v>6</v>
      </c>
      <c r="B15" s="10" t="s">
        <v>170</v>
      </c>
      <c r="C15" s="164">
        <f t="shared" si="0"/>
        <v>7398947</v>
      </c>
      <c r="D15" s="24">
        <v>7398947</v>
      </c>
      <c r="E15" s="10"/>
      <c r="F15" s="24"/>
      <c r="G15" s="10"/>
      <c r="H15" s="10"/>
      <c r="I15" s="10"/>
      <c r="J15" s="10"/>
      <c r="K15" s="10"/>
      <c r="L15" s="10"/>
      <c r="M15" s="10"/>
      <c r="N15" s="10"/>
      <c r="O15" s="10"/>
    </row>
    <row r="16" spans="1:16" x14ac:dyDescent="0.35">
      <c r="A16" s="14">
        <v>7</v>
      </c>
      <c r="B16" s="10" t="s">
        <v>171</v>
      </c>
      <c r="C16" s="164">
        <f t="shared" si="0"/>
        <v>6978312</v>
      </c>
      <c r="D16" s="24">
        <v>6978312</v>
      </c>
      <c r="E16" s="10"/>
      <c r="F16" s="24"/>
      <c r="G16" s="10"/>
      <c r="H16" s="10"/>
      <c r="I16" s="10"/>
      <c r="J16" s="10"/>
      <c r="K16" s="10"/>
      <c r="L16" s="10"/>
      <c r="M16" s="10"/>
      <c r="N16" s="10"/>
      <c r="O16" s="10"/>
    </row>
    <row r="17" spans="1:15" x14ac:dyDescent="0.35">
      <c r="A17" s="14">
        <v>8</v>
      </c>
      <c r="B17" s="10" t="s">
        <v>172</v>
      </c>
      <c r="C17" s="164">
        <f t="shared" si="0"/>
        <v>10415846</v>
      </c>
      <c r="D17" s="24">
        <v>10415846</v>
      </c>
      <c r="E17" s="10"/>
      <c r="F17" s="24"/>
      <c r="G17" s="10"/>
      <c r="H17" s="10"/>
      <c r="I17" s="10"/>
      <c r="J17" s="10"/>
      <c r="K17" s="10"/>
      <c r="L17" s="10"/>
      <c r="M17" s="10"/>
      <c r="N17" s="10"/>
      <c r="O17" s="10"/>
    </row>
    <row r="18" spans="1:15" x14ac:dyDescent="0.35">
      <c r="A18" s="14">
        <v>9</v>
      </c>
      <c r="B18" s="10" t="s">
        <v>173</v>
      </c>
      <c r="C18" s="164">
        <f t="shared" si="0"/>
        <v>8418646</v>
      </c>
      <c r="D18" s="24">
        <v>8418646</v>
      </c>
      <c r="E18" s="10"/>
      <c r="F18" s="24"/>
      <c r="G18" s="10"/>
      <c r="H18" s="10"/>
      <c r="I18" s="10"/>
      <c r="J18" s="10"/>
      <c r="K18" s="10"/>
      <c r="L18" s="10"/>
      <c r="M18" s="10"/>
      <c r="N18" s="10"/>
      <c r="O18" s="10"/>
    </row>
    <row r="19" spans="1:15" x14ac:dyDescent="0.35">
      <c r="A19" s="14">
        <v>10</v>
      </c>
      <c r="B19" s="10" t="s">
        <v>174</v>
      </c>
      <c r="C19" s="164">
        <f t="shared" si="0"/>
        <v>11407639</v>
      </c>
      <c r="D19" s="24">
        <v>11407639</v>
      </c>
      <c r="E19" s="10"/>
      <c r="F19" s="24"/>
      <c r="G19" s="10"/>
      <c r="H19" s="10"/>
      <c r="I19" s="10"/>
      <c r="J19" s="10"/>
      <c r="K19" s="10"/>
      <c r="L19" s="10"/>
      <c r="M19" s="10"/>
      <c r="N19" s="10"/>
      <c r="O19" s="10"/>
    </row>
    <row r="20" spans="1:15" ht="153" customHeight="1" x14ac:dyDescent="0.35">
      <c r="A20" s="159">
        <v>11</v>
      </c>
      <c r="B20" s="3" t="s">
        <v>418</v>
      </c>
      <c r="C20" s="197">
        <f t="shared" si="0"/>
        <v>5563799</v>
      </c>
      <c r="D20" s="152">
        <v>5563799</v>
      </c>
      <c r="E20" s="10"/>
      <c r="F20" s="24"/>
      <c r="G20" s="10"/>
      <c r="H20" s="10"/>
      <c r="I20" s="10"/>
      <c r="J20" s="10"/>
      <c r="K20" s="10"/>
      <c r="L20" s="10"/>
      <c r="M20" s="10"/>
      <c r="N20" s="10"/>
      <c r="O20" s="10"/>
    </row>
    <row r="21" spans="1:15" ht="28" x14ac:dyDescent="0.35">
      <c r="A21" s="14">
        <v>12</v>
      </c>
      <c r="B21" s="153" t="s">
        <v>401</v>
      </c>
      <c r="C21" s="197">
        <f t="shared" si="0"/>
        <v>20000000</v>
      </c>
      <c r="D21" s="152">
        <v>20000000</v>
      </c>
      <c r="E21" s="10"/>
      <c r="F21" s="24"/>
      <c r="G21" s="10"/>
      <c r="H21" s="10"/>
      <c r="I21" s="10"/>
      <c r="J21" s="10"/>
      <c r="K21" s="10"/>
      <c r="L21" s="10"/>
      <c r="M21" s="10"/>
      <c r="N21" s="10"/>
      <c r="O21" s="10"/>
    </row>
    <row r="22" spans="1:15" x14ac:dyDescent="0.35">
      <c r="A22" s="14">
        <v>13</v>
      </c>
      <c r="B22" s="10" t="s">
        <v>177</v>
      </c>
      <c r="C22" s="164">
        <f t="shared" si="0"/>
        <v>1273920</v>
      </c>
      <c r="D22" s="10"/>
      <c r="E22" s="24">
        <v>1273920</v>
      </c>
      <c r="F22" s="10"/>
      <c r="G22" s="10"/>
      <c r="H22" s="10"/>
      <c r="I22" s="10"/>
      <c r="J22" s="10"/>
      <c r="K22" s="10"/>
      <c r="L22" s="10"/>
      <c r="M22" s="10"/>
      <c r="N22" s="10"/>
      <c r="O22" s="10"/>
    </row>
    <row r="23" spans="1:15" x14ac:dyDescent="0.35">
      <c r="A23" s="14">
        <v>14</v>
      </c>
      <c r="B23" s="10" t="s">
        <v>178</v>
      </c>
      <c r="C23" s="164">
        <f t="shared" si="0"/>
        <v>1893640</v>
      </c>
      <c r="D23" s="10"/>
      <c r="E23" s="10"/>
      <c r="F23" s="24">
        <v>1893640</v>
      </c>
      <c r="G23" s="10"/>
      <c r="H23" s="10"/>
      <c r="I23" s="10"/>
      <c r="J23" s="10"/>
      <c r="K23" s="10"/>
      <c r="L23" s="10"/>
      <c r="M23" s="10"/>
      <c r="N23" s="10"/>
      <c r="O23" s="10"/>
    </row>
    <row r="24" spans="1:15" x14ac:dyDescent="0.35">
      <c r="A24" s="14">
        <v>15</v>
      </c>
      <c r="B24" s="10" t="s">
        <v>96</v>
      </c>
      <c r="C24" s="164">
        <f t="shared" si="0"/>
        <v>50000</v>
      </c>
      <c r="D24" s="10"/>
      <c r="E24" s="10"/>
      <c r="F24" s="10"/>
      <c r="G24" s="24">
        <v>50000</v>
      </c>
      <c r="H24" s="10"/>
      <c r="I24" s="10"/>
      <c r="J24" s="10"/>
      <c r="K24" s="10"/>
      <c r="L24" s="10"/>
      <c r="M24" s="10"/>
      <c r="N24" s="10"/>
      <c r="O24" s="10"/>
    </row>
    <row r="25" spans="1:15" ht="27" customHeight="1" x14ac:dyDescent="0.35">
      <c r="A25" s="14">
        <v>16</v>
      </c>
      <c r="B25" s="25" t="s">
        <v>111</v>
      </c>
      <c r="C25" s="197">
        <f t="shared" si="0"/>
        <v>440000</v>
      </c>
      <c r="D25" s="168"/>
      <c r="E25" s="168"/>
      <c r="F25" s="168"/>
      <c r="G25" s="168"/>
      <c r="H25" s="152">
        <v>440000</v>
      </c>
      <c r="I25" s="168"/>
      <c r="J25" s="10"/>
      <c r="K25" s="10"/>
      <c r="L25" s="10"/>
      <c r="M25" s="24"/>
      <c r="N25" s="10"/>
      <c r="O25" s="10"/>
    </row>
    <row r="26" spans="1:15" ht="19.5" customHeight="1" x14ac:dyDescent="0.35">
      <c r="A26" s="14">
        <v>17</v>
      </c>
      <c r="B26" s="11" t="s">
        <v>110</v>
      </c>
      <c r="C26" s="164">
        <f t="shared" si="0"/>
        <v>27649494</v>
      </c>
      <c r="D26" s="10"/>
      <c r="E26" s="10"/>
      <c r="F26" s="10"/>
      <c r="G26" s="10"/>
      <c r="H26" s="10"/>
      <c r="I26" s="10"/>
      <c r="J26" s="10"/>
      <c r="K26" s="10"/>
      <c r="L26" s="10"/>
      <c r="M26" s="10"/>
      <c r="N26" s="164">
        <v>27649494</v>
      </c>
      <c r="O26" s="10"/>
    </row>
    <row r="27" spans="1:15" ht="18.75" customHeight="1" x14ac:dyDescent="0.35">
      <c r="A27" s="14">
        <v>18</v>
      </c>
      <c r="B27" s="2" t="s">
        <v>104</v>
      </c>
      <c r="C27" s="164">
        <f t="shared" si="0"/>
        <v>2460000</v>
      </c>
      <c r="D27" s="2"/>
      <c r="E27" s="2"/>
      <c r="F27" s="2"/>
      <c r="G27" s="2"/>
      <c r="H27" s="7"/>
      <c r="I27" s="164">
        <v>2460000</v>
      </c>
      <c r="J27" s="16"/>
      <c r="K27" s="7"/>
      <c r="L27" s="7"/>
      <c r="M27" s="7"/>
      <c r="N27" s="7"/>
      <c r="O27" s="7"/>
    </row>
    <row r="28" spans="1:15" s="1" customFormat="1" ht="14" x14ac:dyDescent="0.3">
      <c r="A28" s="14">
        <v>19</v>
      </c>
      <c r="B28" s="2" t="s">
        <v>106</v>
      </c>
      <c r="C28" s="164">
        <f t="shared" si="0"/>
        <v>24400000</v>
      </c>
      <c r="D28" s="2"/>
      <c r="E28" s="2"/>
      <c r="F28" s="2"/>
      <c r="G28" s="2"/>
      <c r="H28" s="2"/>
      <c r="I28" s="2"/>
      <c r="J28" s="164">
        <f>K28+L28</f>
        <v>12200000</v>
      </c>
      <c r="K28" s="164">
        <v>1820000</v>
      </c>
      <c r="L28" s="24">
        <v>10380000</v>
      </c>
      <c r="M28" s="10"/>
      <c r="N28" s="10"/>
      <c r="O28" s="10"/>
    </row>
    <row r="29" spans="1:15" s="1" customFormat="1" ht="14" x14ac:dyDescent="0.3">
      <c r="A29" s="14">
        <v>20</v>
      </c>
      <c r="B29" s="2" t="s">
        <v>13</v>
      </c>
      <c r="C29" s="164">
        <f t="shared" si="0"/>
        <v>3060000</v>
      </c>
      <c r="D29" s="2"/>
      <c r="E29" s="2"/>
      <c r="F29" s="2"/>
      <c r="G29" s="2"/>
      <c r="H29" s="2"/>
      <c r="I29" s="2"/>
      <c r="J29" s="2"/>
      <c r="K29" s="2"/>
      <c r="L29" s="10"/>
      <c r="M29" s="10"/>
      <c r="N29" s="10"/>
      <c r="O29" s="24">
        <v>3060000</v>
      </c>
    </row>
    <row r="30" spans="1:15" ht="18.75" customHeight="1" x14ac:dyDescent="0.35">
      <c r="C30" s="19"/>
      <c r="H30" s="268" t="s">
        <v>72</v>
      </c>
      <c r="I30" s="268"/>
      <c r="J30" s="268"/>
      <c r="K30" s="268"/>
      <c r="L30" s="268"/>
      <c r="M30" s="268"/>
      <c r="N30" s="268"/>
      <c r="O30" s="268"/>
    </row>
  </sheetData>
  <mergeCells count="19">
    <mergeCell ref="A2:O2"/>
    <mergeCell ref="A3:O3"/>
    <mergeCell ref="L4:O4"/>
    <mergeCell ref="D5:O5"/>
    <mergeCell ref="A5:A7"/>
    <mergeCell ref="B5:B7"/>
    <mergeCell ref="C5:C7"/>
    <mergeCell ref="D6:D7"/>
    <mergeCell ref="E6:E7"/>
    <mergeCell ref="F6:F7"/>
    <mergeCell ref="G6:G7"/>
    <mergeCell ref="H6:H7"/>
    <mergeCell ref="I6:I7"/>
    <mergeCell ref="H30:O30"/>
    <mergeCell ref="J6:J7"/>
    <mergeCell ref="M6:M7"/>
    <mergeCell ref="N6:N7"/>
    <mergeCell ref="O6:O7"/>
    <mergeCell ref="K6:L6"/>
  </mergeCells>
  <pageMargins left="0.24" right="0.18" top="0.46" bottom="0.41" header="0.3" footer="0.3"/>
  <pageSetup paperSize="9" scale="98" fitToHeight="0" orientation="landscape" verticalDpi="300" r:id="rId1"/>
  <headerFooter>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8"/>
  <sheetViews>
    <sheetView topLeftCell="A7" workbookViewId="0">
      <selection activeCell="B5" sqref="B5:B7"/>
    </sheetView>
  </sheetViews>
  <sheetFormatPr defaultRowHeight="14.5" x14ac:dyDescent="0.35"/>
  <cols>
    <col min="1" max="1" width="5" customWidth="1"/>
    <col min="2" max="2" width="51.453125" customWidth="1"/>
    <col min="3" max="3" width="13" customWidth="1"/>
    <col min="4" max="4" width="14.54296875" customWidth="1"/>
    <col min="5" max="5" width="11.54296875" customWidth="1"/>
    <col min="6" max="6" width="18" hidden="1" customWidth="1"/>
    <col min="7" max="7" width="13.26953125" hidden="1" customWidth="1"/>
    <col min="8" max="8" width="6.54296875" customWidth="1"/>
    <col min="11" max="11" width="17.81640625" bestFit="1" customWidth="1"/>
  </cols>
  <sheetData>
    <row r="1" spans="1:11" ht="16.5" x14ac:dyDescent="0.35">
      <c r="A1" s="228" t="s">
        <v>432</v>
      </c>
      <c r="B1" s="228"/>
      <c r="C1" s="228"/>
      <c r="D1" s="228"/>
      <c r="E1" s="228"/>
      <c r="F1" s="228"/>
      <c r="G1" s="228"/>
      <c r="H1" s="228"/>
    </row>
    <row r="2" spans="1:11" ht="16.5" x14ac:dyDescent="0.35">
      <c r="A2" s="239" t="s">
        <v>211</v>
      </c>
      <c r="B2" s="239"/>
      <c r="C2" s="239"/>
      <c r="D2" s="239"/>
      <c r="E2" s="239"/>
      <c r="F2" s="239"/>
      <c r="G2" s="239"/>
      <c r="H2" s="239"/>
    </row>
    <row r="3" spans="1:11" ht="16.5" x14ac:dyDescent="0.35">
      <c r="A3" s="229" t="str">
        <f>'Phụ biểu 01'!A3:K3</f>
        <v>(Ban hành kèm theo Nghị quyết số 19/NQ-HĐND ngày 29/12/2025 của HĐND phường Vũng Áng)</v>
      </c>
      <c r="B3" s="230"/>
      <c r="C3" s="230"/>
      <c r="D3" s="230"/>
      <c r="E3" s="230"/>
      <c r="F3" s="230"/>
      <c r="G3" s="230"/>
      <c r="H3" s="230"/>
    </row>
    <row r="4" spans="1:11" x14ac:dyDescent="0.35">
      <c r="A4" s="1"/>
      <c r="B4" s="1"/>
      <c r="C4" s="1"/>
      <c r="D4" s="1"/>
      <c r="E4" s="1"/>
      <c r="F4" s="1"/>
      <c r="G4" s="1"/>
      <c r="H4" s="60" t="s">
        <v>39</v>
      </c>
    </row>
    <row r="5" spans="1:11" ht="19.5" customHeight="1" x14ac:dyDescent="0.35">
      <c r="A5" s="231" t="s">
        <v>0</v>
      </c>
      <c r="B5" s="231" t="s">
        <v>199</v>
      </c>
      <c r="C5" s="232" t="s">
        <v>423</v>
      </c>
      <c r="D5" s="234" t="s">
        <v>200</v>
      </c>
      <c r="E5" s="235"/>
      <c r="F5" s="245" t="s">
        <v>424</v>
      </c>
      <c r="G5" s="232" t="s">
        <v>422</v>
      </c>
      <c r="H5" s="238" t="s">
        <v>182</v>
      </c>
    </row>
    <row r="6" spans="1:11" ht="12.75" customHeight="1" x14ac:dyDescent="0.35">
      <c r="A6" s="231"/>
      <c r="B6" s="231"/>
      <c r="C6" s="233"/>
      <c r="D6" s="236"/>
      <c r="E6" s="237"/>
      <c r="F6" s="246"/>
      <c r="G6" s="233"/>
      <c r="H6" s="238"/>
    </row>
    <row r="7" spans="1:11" ht="34.5" customHeight="1" x14ac:dyDescent="0.35">
      <c r="A7" s="231"/>
      <c r="B7" s="231"/>
      <c r="C7" s="233"/>
      <c r="D7" s="163" t="s">
        <v>201</v>
      </c>
      <c r="E7" s="165" t="s">
        <v>202</v>
      </c>
      <c r="F7" s="247"/>
      <c r="G7" s="244"/>
      <c r="H7" s="238"/>
    </row>
    <row r="8" spans="1:11" ht="15" x14ac:dyDescent="0.35">
      <c r="A8" s="88"/>
      <c r="B8" s="89" t="s">
        <v>243</v>
      </c>
      <c r="C8" s="61">
        <f>D8+E8</f>
        <v>251617249.9497664</v>
      </c>
      <c r="D8" s="61">
        <f>D9+D12+D177</f>
        <v>179572999.9497664</v>
      </c>
      <c r="E8" s="61">
        <f>E9+E12+E177</f>
        <v>72044250</v>
      </c>
      <c r="F8" s="61">
        <f>F12</f>
        <v>4264342</v>
      </c>
      <c r="G8" s="61">
        <f>C8-F8</f>
        <v>247352907.9497664</v>
      </c>
      <c r="H8" s="61"/>
      <c r="K8" s="19"/>
    </row>
    <row r="9" spans="1:11" ht="15" x14ac:dyDescent="0.35">
      <c r="A9" s="88" t="s">
        <v>4</v>
      </c>
      <c r="B9" s="90" t="s">
        <v>36</v>
      </c>
      <c r="C9" s="112">
        <f>D9+E9</f>
        <v>83244250</v>
      </c>
      <c r="D9" s="112">
        <f>D10+D11</f>
        <v>18700000</v>
      </c>
      <c r="E9" s="112">
        <f>E10+E11</f>
        <v>64544250</v>
      </c>
      <c r="F9" s="112">
        <v>0</v>
      </c>
      <c r="G9" s="166">
        <f t="shared" ref="G9:G62" si="0">C9-F9</f>
        <v>83244250</v>
      </c>
      <c r="H9" s="112"/>
      <c r="K9" s="19"/>
    </row>
    <row r="10" spans="1:11" ht="31" x14ac:dyDescent="0.35">
      <c r="A10" s="91">
        <v>1</v>
      </c>
      <c r="B10" s="109" t="s">
        <v>346</v>
      </c>
      <c r="C10" s="113">
        <v>80882038</v>
      </c>
      <c r="D10" s="113">
        <v>18700000</v>
      </c>
      <c r="E10" s="113">
        <f>C10-D10</f>
        <v>62182038</v>
      </c>
      <c r="F10" s="113"/>
      <c r="G10" s="166">
        <f t="shared" si="0"/>
        <v>80882038</v>
      </c>
      <c r="H10" s="113"/>
    </row>
    <row r="11" spans="1:11" ht="15.5" x14ac:dyDescent="0.35">
      <c r="A11" s="91">
        <v>2</v>
      </c>
      <c r="B11" s="92" t="s">
        <v>244</v>
      </c>
      <c r="C11" s="113">
        <v>2362212</v>
      </c>
      <c r="D11" s="113"/>
      <c r="E11" s="113">
        <f>C11</f>
        <v>2362212</v>
      </c>
      <c r="F11" s="113"/>
      <c r="G11" s="166">
        <f t="shared" si="0"/>
        <v>2362212</v>
      </c>
      <c r="H11" s="113"/>
    </row>
    <row r="12" spans="1:11" ht="15" x14ac:dyDescent="0.35">
      <c r="A12" s="88" t="s">
        <v>14</v>
      </c>
      <c r="B12" s="93" t="s">
        <v>35</v>
      </c>
      <c r="C12" s="112">
        <f>D12+E12</f>
        <v>165492999.9497664</v>
      </c>
      <c r="D12" s="112">
        <f>D13+D26+D57+D58+D61+D75+D90+D125+D135+D161+D175+D176</f>
        <v>157992999.9497664</v>
      </c>
      <c r="E12" s="112">
        <f>E61+E90+E135+E161+E176++E175</f>
        <v>7500000</v>
      </c>
      <c r="F12" s="112">
        <f>F13+F26+F57+F58+F61+F90+F125+F135+F169</f>
        <v>4264342</v>
      </c>
      <c r="G12" s="61">
        <f t="shared" si="0"/>
        <v>161228657.9497664</v>
      </c>
      <c r="H12" s="112"/>
      <c r="K12" s="128"/>
    </row>
    <row r="13" spans="1:11" ht="15" x14ac:dyDescent="0.35">
      <c r="A13" s="88" t="s">
        <v>1</v>
      </c>
      <c r="B13" s="94" t="s">
        <v>245</v>
      </c>
      <c r="C13" s="114">
        <f>D13</f>
        <v>3167560</v>
      </c>
      <c r="D13" s="114">
        <f>D14+D21</f>
        <v>3167560</v>
      </c>
      <c r="E13" s="114"/>
      <c r="F13" s="114">
        <f>F14+F21</f>
        <v>160000</v>
      </c>
      <c r="G13" s="166">
        <f t="shared" si="0"/>
        <v>3007560</v>
      </c>
      <c r="H13" s="114"/>
    </row>
    <row r="14" spans="1:11" ht="15" x14ac:dyDescent="0.35">
      <c r="A14" s="95">
        <v>1</v>
      </c>
      <c r="B14" s="96" t="s">
        <v>246</v>
      </c>
      <c r="C14" s="115">
        <f>SUM(C15:C20)</f>
        <v>1893640</v>
      </c>
      <c r="D14" s="114">
        <f>SUM(D15:D20)</f>
        <v>1893640</v>
      </c>
      <c r="E14" s="114"/>
      <c r="F14" s="114">
        <f>SUM(F15:F20)</f>
        <v>40000</v>
      </c>
      <c r="G14" s="61">
        <f t="shared" si="0"/>
        <v>1853640</v>
      </c>
      <c r="H14" s="114"/>
    </row>
    <row r="15" spans="1:11" ht="63" customHeight="1" x14ac:dyDescent="0.35">
      <c r="A15" s="97" t="s">
        <v>37</v>
      </c>
      <c r="B15" s="98" t="s">
        <v>247</v>
      </c>
      <c r="C15" s="116">
        <v>310000</v>
      </c>
      <c r="D15" s="113">
        <v>310000</v>
      </c>
      <c r="E15" s="117"/>
      <c r="F15" s="117"/>
      <c r="G15" s="166">
        <f t="shared" si="0"/>
        <v>310000</v>
      </c>
      <c r="H15" s="117"/>
    </row>
    <row r="16" spans="1:11" ht="31" x14ac:dyDescent="0.35">
      <c r="A16" s="97" t="s">
        <v>37</v>
      </c>
      <c r="B16" s="99" t="s">
        <v>248</v>
      </c>
      <c r="C16" s="116">
        <f>0.5*16*2340*12</f>
        <v>224640</v>
      </c>
      <c r="D16" s="113">
        <v>224640</v>
      </c>
      <c r="E16" s="117"/>
      <c r="F16" s="117"/>
      <c r="G16" s="166">
        <f t="shared" si="0"/>
        <v>224640</v>
      </c>
      <c r="H16" s="118"/>
    </row>
    <row r="17" spans="1:8" ht="24" customHeight="1" x14ac:dyDescent="0.35">
      <c r="A17" s="97" t="s">
        <v>37</v>
      </c>
      <c r="B17" s="99" t="s">
        <v>249</v>
      </c>
      <c r="C17" s="116">
        <v>904000</v>
      </c>
      <c r="D17" s="113">
        <v>904000</v>
      </c>
      <c r="E17" s="117"/>
      <c r="F17" s="117"/>
      <c r="G17" s="166">
        <f t="shared" si="0"/>
        <v>904000</v>
      </c>
      <c r="H17" s="117"/>
    </row>
    <row r="18" spans="1:8" ht="15.5" x14ac:dyDescent="0.35">
      <c r="A18" s="97" t="s">
        <v>37</v>
      </c>
      <c r="B18" s="100" t="s">
        <v>250</v>
      </c>
      <c r="C18" s="116">
        <v>197000</v>
      </c>
      <c r="D18" s="113">
        <v>197000</v>
      </c>
      <c r="E18" s="112"/>
      <c r="F18" s="112"/>
      <c r="G18" s="166">
        <f t="shared" si="0"/>
        <v>197000</v>
      </c>
      <c r="H18" s="114"/>
    </row>
    <row r="19" spans="1:8" ht="45.75" customHeight="1" x14ac:dyDescent="0.35">
      <c r="A19" s="97" t="s">
        <v>37</v>
      </c>
      <c r="B19" s="98" t="s">
        <v>251</v>
      </c>
      <c r="C19" s="116">
        <v>58000</v>
      </c>
      <c r="D19" s="113">
        <v>58000</v>
      </c>
      <c r="E19" s="117"/>
      <c r="F19" s="117">
        <v>0</v>
      </c>
      <c r="G19" s="166">
        <f t="shared" si="0"/>
        <v>58000</v>
      </c>
      <c r="H19" s="117"/>
    </row>
    <row r="20" spans="1:8" ht="15.5" x14ac:dyDescent="0.35">
      <c r="A20" s="97" t="s">
        <v>37</v>
      </c>
      <c r="B20" s="98" t="s">
        <v>252</v>
      </c>
      <c r="C20" s="116">
        <f>D20</f>
        <v>200000</v>
      </c>
      <c r="D20" s="113">
        <v>200000</v>
      </c>
      <c r="E20" s="117"/>
      <c r="F20" s="117">
        <f>D20*20%</f>
        <v>40000</v>
      </c>
      <c r="G20" s="166">
        <f t="shared" si="0"/>
        <v>160000</v>
      </c>
      <c r="H20" s="117"/>
    </row>
    <row r="21" spans="1:8" ht="15.5" x14ac:dyDescent="0.35">
      <c r="A21" s="95">
        <v>2</v>
      </c>
      <c r="B21" s="96" t="s">
        <v>253</v>
      </c>
      <c r="C21" s="114">
        <f>D21</f>
        <v>1273920</v>
      </c>
      <c r="D21" s="112">
        <f>SUM(D22:D25)</f>
        <v>1273920</v>
      </c>
      <c r="E21" s="117"/>
      <c r="F21" s="114">
        <f>SUM(F22:F25)</f>
        <v>120000</v>
      </c>
      <c r="G21" s="61">
        <f t="shared" si="0"/>
        <v>1153920</v>
      </c>
      <c r="H21" s="117"/>
    </row>
    <row r="22" spans="1:8" ht="31" x14ac:dyDescent="0.35">
      <c r="A22" s="97" t="s">
        <v>37</v>
      </c>
      <c r="B22" s="98" t="s">
        <v>254</v>
      </c>
      <c r="C22" s="117">
        <f t="shared" ref="C22:C25" si="1">D22</f>
        <v>247104</v>
      </c>
      <c r="D22" s="116">
        <f>0.55*2340*16*12</f>
        <v>247104</v>
      </c>
      <c r="E22" s="117"/>
      <c r="F22" s="117"/>
      <c r="G22" s="166">
        <f t="shared" si="0"/>
        <v>247104</v>
      </c>
      <c r="H22" s="118"/>
    </row>
    <row r="23" spans="1:8" ht="31" x14ac:dyDescent="0.35">
      <c r="A23" s="97" t="s">
        <v>37</v>
      </c>
      <c r="B23" s="98" t="s">
        <v>255</v>
      </c>
      <c r="C23" s="117">
        <f t="shared" si="1"/>
        <v>224640</v>
      </c>
      <c r="D23" s="116">
        <f>0.5*2340*16*12</f>
        <v>224640</v>
      </c>
      <c r="E23" s="117"/>
      <c r="F23" s="117"/>
      <c r="G23" s="166">
        <f t="shared" si="0"/>
        <v>224640</v>
      </c>
      <c r="H23" s="117"/>
    </row>
    <row r="24" spans="1:8" ht="31" x14ac:dyDescent="0.35">
      <c r="A24" s="97" t="s">
        <v>37</v>
      </c>
      <c r="B24" s="98" t="s">
        <v>256</v>
      </c>
      <c r="C24" s="117">
        <f t="shared" si="1"/>
        <v>202176</v>
      </c>
      <c r="D24" s="116">
        <f>0.45*2340*16*12</f>
        <v>202176</v>
      </c>
      <c r="E24" s="117"/>
      <c r="F24" s="117"/>
      <c r="G24" s="166">
        <f t="shared" si="0"/>
        <v>202176</v>
      </c>
      <c r="H24" s="117"/>
    </row>
    <row r="25" spans="1:8" ht="15.5" x14ac:dyDescent="0.35">
      <c r="A25" s="97" t="s">
        <v>37</v>
      </c>
      <c r="B25" s="98" t="s">
        <v>252</v>
      </c>
      <c r="C25" s="117">
        <f t="shared" si="1"/>
        <v>600000</v>
      </c>
      <c r="D25" s="116">
        <f>480000+120000</f>
        <v>600000</v>
      </c>
      <c r="E25" s="117"/>
      <c r="F25" s="117">
        <f>D25*20%</f>
        <v>120000</v>
      </c>
      <c r="G25" s="166">
        <f t="shared" si="0"/>
        <v>480000</v>
      </c>
      <c r="H25" s="117"/>
    </row>
    <row r="26" spans="1:8" ht="16.5" x14ac:dyDescent="0.35">
      <c r="A26" s="95" t="s">
        <v>2</v>
      </c>
      <c r="B26" s="94" t="s">
        <v>176</v>
      </c>
      <c r="C26" s="114">
        <f>D26</f>
        <v>84780000</v>
      </c>
      <c r="D26" s="111">
        <f>D27+D31+D35+D39+D43+D47+D51+D55+D56</f>
        <v>84780000</v>
      </c>
      <c r="E26" s="117"/>
      <c r="F26" s="114">
        <f>F27+F31+F35+F39+F43+F47+F51</f>
        <v>1476442</v>
      </c>
      <c r="G26" s="61">
        <f t="shared" si="0"/>
        <v>83303558</v>
      </c>
      <c r="H26" s="114"/>
    </row>
    <row r="27" spans="1:8" ht="16.5" x14ac:dyDescent="0.35">
      <c r="A27" s="95">
        <v>1</v>
      </c>
      <c r="B27" s="94" t="s">
        <v>168</v>
      </c>
      <c r="C27" s="114">
        <f t="shared" ref="C27:C56" si="2">D27</f>
        <v>5542824</v>
      </c>
      <c r="D27" s="111">
        <f>SUM(D28:D30)</f>
        <v>5542824</v>
      </c>
      <c r="E27" s="117"/>
      <c r="F27" s="114">
        <f>F29</f>
        <v>151390</v>
      </c>
      <c r="G27" s="61">
        <f t="shared" si="0"/>
        <v>5391434</v>
      </c>
      <c r="H27" s="117"/>
    </row>
    <row r="28" spans="1:8" ht="31" x14ac:dyDescent="0.35">
      <c r="A28" s="97" t="s">
        <v>37</v>
      </c>
      <c r="B28" s="98" t="s">
        <v>257</v>
      </c>
      <c r="C28" s="117">
        <f t="shared" si="2"/>
        <v>4532334</v>
      </c>
      <c r="D28" s="110">
        <v>4532334</v>
      </c>
      <c r="E28" s="117"/>
      <c r="F28" s="117"/>
      <c r="G28" s="166">
        <f t="shared" si="0"/>
        <v>4532334</v>
      </c>
      <c r="H28" s="117"/>
    </row>
    <row r="29" spans="1:8" ht="16.5" x14ac:dyDescent="0.35">
      <c r="A29" s="97" t="s">
        <v>37</v>
      </c>
      <c r="B29" s="98" t="s">
        <v>258</v>
      </c>
      <c r="C29" s="117">
        <f t="shared" si="2"/>
        <v>756956</v>
      </c>
      <c r="D29" s="110">
        <f>681261-75695+151390</f>
        <v>756956</v>
      </c>
      <c r="E29" s="117"/>
      <c r="F29" s="117">
        <v>151390</v>
      </c>
      <c r="G29" s="166">
        <f>C29-F29</f>
        <v>605566</v>
      </c>
      <c r="H29" s="117"/>
    </row>
    <row r="30" spans="1:8" ht="16.5" x14ac:dyDescent="0.35">
      <c r="A30" s="97" t="s">
        <v>37</v>
      </c>
      <c r="B30" s="98" t="s">
        <v>259</v>
      </c>
      <c r="C30" s="117">
        <f t="shared" si="2"/>
        <v>253534</v>
      </c>
      <c r="D30" s="110">
        <v>253534</v>
      </c>
      <c r="E30" s="117"/>
      <c r="F30" s="117"/>
      <c r="G30" s="166">
        <f t="shared" si="0"/>
        <v>253534</v>
      </c>
      <c r="H30" s="118"/>
    </row>
    <row r="31" spans="1:8" ht="16.5" x14ac:dyDescent="0.35">
      <c r="A31" s="95">
        <v>2</v>
      </c>
      <c r="B31" s="102" t="s">
        <v>169</v>
      </c>
      <c r="C31" s="114">
        <f t="shared" si="2"/>
        <v>9053987</v>
      </c>
      <c r="D31" s="111">
        <f>SUM(D32:D34)</f>
        <v>9053987</v>
      </c>
      <c r="E31" s="114"/>
      <c r="F31" s="114">
        <f>F33</f>
        <v>224384</v>
      </c>
      <c r="G31" s="166">
        <f t="shared" si="0"/>
        <v>8829603</v>
      </c>
      <c r="H31" s="114"/>
    </row>
    <row r="32" spans="1:8" ht="31" x14ac:dyDescent="0.35">
      <c r="A32" s="97" t="s">
        <v>37</v>
      </c>
      <c r="B32" s="98" t="s">
        <v>257</v>
      </c>
      <c r="C32" s="117">
        <f t="shared" si="2"/>
        <v>7511479</v>
      </c>
      <c r="D32" s="110">
        <v>7511479</v>
      </c>
      <c r="E32" s="113"/>
      <c r="F32" s="113"/>
      <c r="G32" s="166">
        <f t="shared" si="0"/>
        <v>7511479</v>
      </c>
      <c r="H32" s="117"/>
    </row>
    <row r="33" spans="1:8" ht="16.5" x14ac:dyDescent="0.35">
      <c r="A33" s="97" t="s">
        <v>37</v>
      </c>
      <c r="B33" s="98" t="s">
        <v>258</v>
      </c>
      <c r="C33" s="117">
        <f t="shared" si="2"/>
        <v>1121926</v>
      </c>
      <c r="D33" s="110">
        <f>1009734-112192+224384</f>
        <v>1121926</v>
      </c>
      <c r="E33" s="113"/>
      <c r="F33" s="113">
        <v>224384</v>
      </c>
      <c r="G33" s="166">
        <f t="shared" si="0"/>
        <v>897542</v>
      </c>
      <c r="H33" s="117"/>
    </row>
    <row r="34" spans="1:8" ht="16.5" x14ac:dyDescent="0.35">
      <c r="A34" s="97" t="s">
        <v>37</v>
      </c>
      <c r="B34" s="98" t="s">
        <v>259</v>
      </c>
      <c r="C34" s="117">
        <f t="shared" si="2"/>
        <v>420582</v>
      </c>
      <c r="D34" s="110">
        <v>420582</v>
      </c>
      <c r="E34" s="113"/>
      <c r="F34" s="113"/>
      <c r="G34" s="166">
        <f t="shared" si="0"/>
        <v>420582</v>
      </c>
      <c r="H34" s="117"/>
    </row>
    <row r="35" spans="1:8" ht="16.5" x14ac:dyDescent="0.35">
      <c r="A35" s="95">
        <v>3</v>
      </c>
      <c r="B35" s="102" t="s">
        <v>170</v>
      </c>
      <c r="C35" s="114">
        <f t="shared" si="2"/>
        <v>7398947</v>
      </c>
      <c r="D35" s="111">
        <f>SUM(D36:D38)</f>
        <v>7398947</v>
      </c>
      <c r="E35" s="113"/>
      <c r="F35" s="112">
        <f>F37</f>
        <v>183334</v>
      </c>
      <c r="G35" s="61">
        <f t="shared" si="0"/>
        <v>7215613</v>
      </c>
      <c r="H35" s="240"/>
    </row>
    <row r="36" spans="1:8" ht="31" x14ac:dyDescent="0.35">
      <c r="A36" s="97" t="s">
        <v>37</v>
      </c>
      <c r="B36" s="98" t="s">
        <v>257</v>
      </c>
      <c r="C36" s="117">
        <f t="shared" si="2"/>
        <v>6137282</v>
      </c>
      <c r="D36" s="110">
        <v>6137282</v>
      </c>
      <c r="E36" s="113"/>
      <c r="F36" s="113"/>
      <c r="G36" s="166">
        <f t="shared" si="0"/>
        <v>6137282</v>
      </c>
      <c r="H36" s="240"/>
    </row>
    <row r="37" spans="1:8" ht="16.5" x14ac:dyDescent="0.35">
      <c r="A37" s="97" t="s">
        <v>37</v>
      </c>
      <c r="B37" s="98" t="s">
        <v>258</v>
      </c>
      <c r="C37" s="117">
        <f t="shared" si="2"/>
        <v>916674</v>
      </c>
      <c r="D37" s="110">
        <f>825007-91667+183334</f>
        <v>916674</v>
      </c>
      <c r="E37" s="113"/>
      <c r="F37" s="113">
        <v>183334</v>
      </c>
      <c r="G37" s="166">
        <f t="shared" si="0"/>
        <v>733340</v>
      </c>
      <c r="H37" s="240"/>
    </row>
    <row r="38" spans="1:8" ht="16.5" x14ac:dyDescent="0.35">
      <c r="A38" s="97" t="s">
        <v>37</v>
      </c>
      <c r="B38" s="98" t="s">
        <v>260</v>
      </c>
      <c r="C38" s="117">
        <f t="shared" si="2"/>
        <v>344991</v>
      </c>
      <c r="D38" s="110">
        <v>344991</v>
      </c>
      <c r="E38" s="113"/>
      <c r="F38" s="113"/>
      <c r="G38" s="166">
        <f t="shared" si="0"/>
        <v>344991</v>
      </c>
      <c r="H38" s="118"/>
    </row>
    <row r="39" spans="1:8" ht="16.5" x14ac:dyDescent="0.35">
      <c r="A39" s="95">
        <v>4</v>
      </c>
      <c r="B39" s="102" t="s">
        <v>171</v>
      </c>
      <c r="C39" s="114">
        <f t="shared" si="2"/>
        <v>6978312</v>
      </c>
      <c r="D39" s="111">
        <f>SUM(D40:D42)</f>
        <v>6978312</v>
      </c>
      <c r="E39" s="119"/>
      <c r="F39" s="112">
        <f>F41</f>
        <v>170664</v>
      </c>
      <c r="G39" s="61">
        <f t="shared" si="0"/>
        <v>6807648</v>
      </c>
      <c r="H39" s="120"/>
    </row>
    <row r="40" spans="1:8" ht="31" x14ac:dyDescent="0.35">
      <c r="A40" s="97" t="s">
        <v>37</v>
      </c>
      <c r="B40" s="98" t="s">
        <v>257</v>
      </c>
      <c r="C40" s="117">
        <f t="shared" si="2"/>
        <v>5713090</v>
      </c>
      <c r="D40" s="110">
        <v>5713090</v>
      </c>
      <c r="E40" s="113"/>
      <c r="F40" s="113"/>
      <c r="G40" s="166">
        <f t="shared" si="0"/>
        <v>5713090</v>
      </c>
      <c r="H40" s="117"/>
    </row>
    <row r="41" spans="1:8" ht="16.5" x14ac:dyDescent="0.35">
      <c r="A41" s="97" t="s">
        <v>37</v>
      </c>
      <c r="B41" s="98" t="s">
        <v>258</v>
      </c>
      <c r="C41" s="117">
        <f t="shared" si="2"/>
        <v>938652</v>
      </c>
      <c r="D41" s="110">
        <f>853320-85332+170664</f>
        <v>938652</v>
      </c>
      <c r="E41" s="113"/>
      <c r="F41" s="113">
        <v>170664</v>
      </c>
      <c r="G41" s="166">
        <f t="shared" si="0"/>
        <v>767988</v>
      </c>
      <c r="H41" s="117"/>
    </row>
    <row r="42" spans="1:8" ht="16.5" x14ac:dyDescent="0.35">
      <c r="A42" s="97" t="s">
        <v>37</v>
      </c>
      <c r="B42" s="98" t="s">
        <v>260</v>
      </c>
      <c r="C42" s="117">
        <f t="shared" si="2"/>
        <v>326570</v>
      </c>
      <c r="D42" s="110">
        <v>326570</v>
      </c>
      <c r="E42" s="117"/>
      <c r="F42" s="117"/>
      <c r="G42" s="166">
        <f t="shared" si="0"/>
        <v>326570</v>
      </c>
      <c r="H42" s="118"/>
    </row>
    <row r="43" spans="1:8" ht="16.5" x14ac:dyDescent="0.35">
      <c r="A43" s="95">
        <v>5</v>
      </c>
      <c r="B43" s="102" t="s">
        <v>172</v>
      </c>
      <c r="C43" s="114">
        <f t="shared" si="2"/>
        <v>10415846</v>
      </c>
      <c r="D43" s="111">
        <f>SUM(D44:D46)</f>
        <v>10415846</v>
      </c>
      <c r="E43" s="114"/>
      <c r="F43" s="114">
        <f>F45</f>
        <v>255532</v>
      </c>
      <c r="G43" s="61">
        <f t="shared" si="0"/>
        <v>10160314</v>
      </c>
      <c r="H43" s="114"/>
    </row>
    <row r="44" spans="1:8" ht="31" x14ac:dyDescent="0.35">
      <c r="A44" s="97" t="s">
        <v>37</v>
      </c>
      <c r="B44" s="98" t="s">
        <v>257</v>
      </c>
      <c r="C44" s="117">
        <f t="shared" si="2"/>
        <v>8554120</v>
      </c>
      <c r="D44" s="110">
        <v>8554120</v>
      </c>
      <c r="E44" s="117"/>
      <c r="F44" s="117"/>
      <c r="G44" s="166">
        <f t="shared" si="0"/>
        <v>8554120</v>
      </c>
      <c r="H44" s="117"/>
    </row>
    <row r="45" spans="1:8" ht="16.5" x14ac:dyDescent="0.35">
      <c r="A45" s="97" t="s">
        <v>37</v>
      </c>
      <c r="B45" s="98" t="s">
        <v>258</v>
      </c>
      <c r="C45" s="117">
        <f t="shared" si="2"/>
        <v>1405426</v>
      </c>
      <c r="D45" s="110">
        <f>1277660-127766+255532</f>
        <v>1405426</v>
      </c>
      <c r="E45" s="117"/>
      <c r="F45" s="117">
        <v>255532</v>
      </c>
      <c r="G45" s="166">
        <f t="shared" si="0"/>
        <v>1149894</v>
      </c>
      <c r="H45" s="117"/>
    </row>
    <row r="46" spans="1:8" ht="16.5" x14ac:dyDescent="0.35">
      <c r="A46" s="97" t="s">
        <v>37</v>
      </c>
      <c r="B46" s="98" t="s">
        <v>260</v>
      </c>
      <c r="C46" s="117">
        <f t="shared" si="2"/>
        <v>456300</v>
      </c>
      <c r="D46" s="110">
        <v>456300</v>
      </c>
      <c r="E46" s="117"/>
      <c r="F46" s="117"/>
      <c r="G46" s="166">
        <f t="shared" si="0"/>
        <v>456300</v>
      </c>
      <c r="H46" s="117"/>
    </row>
    <row r="47" spans="1:8" ht="16.5" x14ac:dyDescent="0.35">
      <c r="A47" s="95">
        <v>6</v>
      </c>
      <c r="B47" s="102" t="s">
        <v>173</v>
      </c>
      <c r="C47" s="114">
        <f t="shared" si="2"/>
        <v>8418646</v>
      </c>
      <c r="D47" s="111">
        <f>SUM(D48:D50)</f>
        <v>8418646</v>
      </c>
      <c r="E47" s="117"/>
      <c r="F47" s="114">
        <f>F49</f>
        <v>208394</v>
      </c>
      <c r="G47" s="61">
        <f t="shared" si="0"/>
        <v>8210252</v>
      </c>
      <c r="H47" s="121"/>
    </row>
    <row r="48" spans="1:8" ht="31" x14ac:dyDescent="0.35">
      <c r="A48" s="97" t="s">
        <v>37</v>
      </c>
      <c r="B48" s="98" t="s">
        <v>261</v>
      </c>
      <c r="C48" s="117">
        <f t="shared" si="2"/>
        <v>6976169</v>
      </c>
      <c r="D48" s="110">
        <v>6976169</v>
      </c>
      <c r="E48" s="117"/>
      <c r="F48" s="117"/>
      <c r="G48" s="166">
        <f t="shared" si="0"/>
        <v>6976169</v>
      </c>
      <c r="H48" s="121"/>
    </row>
    <row r="49" spans="1:8" ht="16.5" x14ac:dyDescent="0.35">
      <c r="A49" s="97" t="s">
        <v>37</v>
      </c>
      <c r="B49" s="98" t="s">
        <v>258</v>
      </c>
      <c r="C49" s="117">
        <f t="shared" si="2"/>
        <v>1041972</v>
      </c>
      <c r="D49" s="110">
        <f>937775-104197+208394</f>
        <v>1041972</v>
      </c>
      <c r="E49" s="117"/>
      <c r="F49" s="117">
        <v>208394</v>
      </c>
      <c r="G49" s="166">
        <f t="shared" si="0"/>
        <v>833578</v>
      </c>
      <c r="H49" s="121"/>
    </row>
    <row r="50" spans="1:8" ht="16.5" x14ac:dyDescent="0.35">
      <c r="A50" s="97" t="s">
        <v>37</v>
      </c>
      <c r="B50" s="98" t="s">
        <v>260</v>
      </c>
      <c r="C50" s="117">
        <f t="shared" si="2"/>
        <v>400505</v>
      </c>
      <c r="D50" s="110">
        <v>400505</v>
      </c>
      <c r="E50" s="117"/>
      <c r="F50" s="117"/>
      <c r="G50" s="166">
        <f t="shared" si="0"/>
        <v>400505</v>
      </c>
      <c r="H50" s="121"/>
    </row>
    <row r="51" spans="1:8" ht="16.5" x14ac:dyDescent="0.35">
      <c r="A51" s="95">
        <v>7</v>
      </c>
      <c r="B51" s="102" t="s">
        <v>262</v>
      </c>
      <c r="C51" s="114">
        <f t="shared" si="2"/>
        <v>11407639</v>
      </c>
      <c r="D51" s="111">
        <f>SUM(D52:D54)</f>
        <v>11407639</v>
      </c>
      <c r="E51" s="117"/>
      <c r="F51" s="114">
        <f>F53</f>
        <v>282744</v>
      </c>
      <c r="G51" s="61">
        <f t="shared" si="0"/>
        <v>11124895</v>
      </c>
      <c r="H51" s="117"/>
    </row>
    <row r="52" spans="1:8" ht="31" x14ac:dyDescent="0.35">
      <c r="A52" s="97" t="s">
        <v>37</v>
      </c>
      <c r="B52" s="98" t="s">
        <v>257</v>
      </c>
      <c r="C52" s="117">
        <f t="shared" si="2"/>
        <v>9465112</v>
      </c>
      <c r="D52" s="110">
        <v>9465112</v>
      </c>
      <c r="E52" s="117"/>
      <c r="F52" s="117"/>
      <c r="G52" s="166">
        <f t="shared" si="0"/>
        <v>9465112</v>
      </c>
      <c r="H52" s="117"/>
    </row>
    <row r="53" spans="1:8" ht="16.5" x14ac:dyDescent="0.35">
      <c r="A53" s="97" t="s">
        <v>37</v>
      </c>
      <c r="B53" s="98" t="s">
        <v>258</v>
      </c>
      <c r="C53" s="117">
        <f t="shared" si="2"/>
        <v>1413724</v>
      </c>
      <c r="D53" s="110">
        <f>1272352-141372+282744</f>
        <v>1413724</v>
      </c>
      <c r="E53" s="117"/>
      <c r="F53" s="117">
        <v>282744</v>
      </c>
      <c r="G53" s="166">
        <f t="shared" si="0"/>
        <v>1130980</v>
      </c>
      <c r="H53" s="117"/>
    </row>
    <row r="54" spans="1:8" ht="16.5" x14ac:dyDescent="0.35">
      <c r="A54" s="97" t="s">
        <v>37</v>
      </c>
      <c r="B54" s="98" t="s">
        <v>259</v>
      </c>
      <c r="C54" s="117">
        <f t="shared" si="2"/>
        <v>528803</v>
      </c>
      <c r="D54" s="110">
        <v>528803</v>
      </c>
      <c r="E54" s="117"/>
      <c r="F54" s="117"/>
      <c r="G54" s="166">
        <f t="shared" si="0"/>
        <v>528803</v>
      </c>
      <c r="H54" s="117"/>
    </row>
    <row r="55" spans="1:8" ht="117" customHeight="1" x14ac:dyDescent="0.35">
      <c r="A55" s="95">
        <v>8</v>
      </c>
      <c r="B55" s="102" t="s">
        <v>263</v>
      </c>
      <c r="C55" s="114">
        <f t="shared" si="2"/>
        <v>5563799</v>
      </c>
      <c r="D55" s="111">
        <f>5563799</f>
        <v>5563799</v>
      </c>
      <c r="E55" s="117"/>
      <c r="F55" s="117">
        <v>0</v>
      </c>
      <c r="G55" s="166">
        <f t="shared" si="0"/>
        <v>5563799</v>
      </c>
      <c r="H55" s="117"/>
    </row>
    <row r="56" spans="1:8" ht="30" x14ac:dyDescent="0.35">
      <c r="A56" s="95">
        <v>9</v>
      </c>
      <c r="B56" s="102" t="s">
        <v>264</v>
      </c>
      <c r="C56" s="114">
        <f t="shared" si="2"/>
        <v>20000000</v>
      </c>
      <c r="D56" s="111">
        <v>20000000</v>
      </c>
      <c r="E56" s="117"/>
      <c r="F56" s="117">
        <v>0</v>
      </c>
      <c r="G56" s="166">
        <f t="shared" si="0"/>
        <v>20000000</v>
      </c>
      <c r="H56" s="117"/>
    </row>
    <row r="57" spans="1:8" ht="16.5" x14ac:dyDescent="0.35">
      <c r="A57" s="103" t="s">
        <v>25</v>
      </c>
      <c r="B57" s="93" t="s">
        <v>265</v>
      </c>
      <c r="C57" s="122">
        <f>D57</f>
        <v>50000</v>
      </c>
      <c r="D57" s="111">
        <v>50000</v>
      </c>
      <c r="E57" s="122"/>
      <c r="F57" s="122">
        <f>D57*20%</f>
        <v>10000</v>
      </c>
      <c r="G57" s="61">
        <f>C57-F57</f>
        <v>40000</v>
      </c>
      <c r="H57" s="114"/>
    </row>
    <row r="58" spans="1:8" ht="16.5" x14ac:dyDescent="0.35">
      <c r="A58" s="103" t="s">
        <v>26</v>
      </c>
      <c r="B58" s="93" t="s">
        <v>266</v>
      </c>
      <c r="C58" s="122">
        <f>D58</f>
        <v>440000</v>
      </c>
      <c r="D58" s="111">
        <f>D59+D60</f>
        <v>440000</v>
      </c>
      <c r="E58" s="123"/>
      <c r="F58" s="122">
        <f>F59+F60</f>
        <v>88000</v>
      </c>
      <c r="G58" s="61">
        <f>C58-F58</f>
        <v>352000</v>
      </c>
      <c r="H58" s="118"/>
    </row>
    <row r="59" spans="1:8" ht="31" x14ac:dyDescent="0.35">
      <c r="A59" s="104">
        <v>1</v>
      </c>
      <c r="B59" s="105" t="s">
        <v>267</v>
      </c>
      <c r="C59" s="123">
        <f t="shared" ref="C59:C60" si="3">D59</f>
        <v>350000</v>
      </c>
      <c r="D59" s="110">
        <v>350000</v>
      </c>
      <c r="E59" s="123"/>
      <c r="F59" s="123">
        <f>D59*20%</f>
        <v>70000</v>
      </c>
      <c r="G59" s="166">
        <f t="shared" si="0"/>
        <v>280000</v>
      </c>
      <c r="H59" s="118"/>
    </row>
    <row r="60" spans="1:8" ht="15.5" x14ac:dyDescent="0.35">
      <c r="A60" s="104">
        <v>3</v>
      </c>
      <c r="B60" s="105" t="s">
        <v>268</v>
      </c>
      <c r="C60" s="123">
        <f t="shared" si="3"/>
        <v>90000</v>
      </c>
      <c r="D60" s="113">
        <v>90000</v>
      </c>
      <c r="E60" s="117"/>
      <c r="F60" s="117">
        <f>D60*20%</f>
        <v>18000</v>
      </c>
      <c r="G60" s="166">
        <f t="shared" si="0"/>
        <v>72000</v>
      </c>
      <c r="H60" s="118"/>
    </row>
    <row r="61" spans="1:8" ht="15" x14ac:dyDescent="0.35">
      <c r="A61" s="103" t="s">
        <v>31</v>
      </c>
      <c r="B61" s="93" t="s">
        <v>269</v>
      </c>
      <c r="C61" s="114">
        <f>D61+E61</f>
        <v>14660000</v>
      </c>
      <c r="D61" s="112">
        <f>D62+D65+D69+D73+D74</f>
        <v>14280000</v>
      </c>
      <c r="E61" s="114">
        <f>E68</f>
        <v>380000</v>
      </c>
      <c r="F61" s="114">
        <f>F62</f>
        <v>492000</v>
      </c>
      <c r="G61" s="61">
        <f t="shared" si="0"/>
        <v>14168000</v>
      </c>
      <c r="H61" s="167"/>
    </row>
    <row r="62" spans="1:8" ht="15.5" x14ac:dyDescent="0.35">
      <c r="A62" s="103">
        <v>1</v>
      </c>
      <c r="B62" s="93" t="s">
        <v>270</v>
      </c>
      <c r="C62" s="114">
        <f t="shared" ref="C62:C74" si="4">D62</f>
        <v>2460000</v>
      </c>
      <c r="D62" s="126">
        <f>SUM(D63:D64)</f>
        <v>2460000</v>
      </c>
      <c r="E62" s="123"/>
      <c r="F62" s="122">
        <f>D62*20%</f>
        <v>492000</v>
      </c>
      <c r="G62" s="61">
        <f t="shared" si="0"/>
        <v>1968000</v>
      </c>
      <c r="H62" s="117"/>
    </row>
    <row r="63" spans="1:8" ht="15.5" x14ac:dyDescent="0.35">
      <c r="A63" s="104" t="s">
        <v>37</v>
      </c>
      <c r="B63" s="101" t="s">
        <v>271</v>
      </c>
      <c r="C63" s="117">
        <f t="shared" si="4"/>
        <v>1800000</v>
      </c>
      <c r="D63" s="123">
        <v>1800000</v>
      </c>
      <c r="E63" s="123"/>
      <c r="F63" s="123">
        <f t="shared" ref="F63:F64" si="5">D63*20%</f>
        <v>360000</v>
      </c>
      <c r="G63" s="166">
        <f t="shared" ref="G63:G125" si="6">C63-F63</f>
        <v>1440000</v>
      </c>
      <c r="H63" s="117"/>
    </row>
    <row r="64" spans="1:8" ht="31" x14ac:dyDescent="0.35">
      <c r="A64" s="104" t="s">
        <v>37</v>
      </c>
      <c r="B64" s="101" t="s">
        <v>272</v>
      </c>
      <c r="C64" s="117">
        <f t="shared" si="4"/>
        <v>660000</v>
      </c>
      <c r="D64" s="124">
        <v>660000</v>
      </c>
      <c r="E64" s="123"/>
      <c r="F64" s="123">
        <f t="shared" si="5"/>
        <v>132000</v>
      </c>
      <c r="G64" s="166">
        <f t="shared" si="6"/>
        <v>528000</v>
      </c>
      <c r="H64" s="117"/>
    </row>
    <row r="65" spans="1:8" ht="15.5" x14ac:dyDescent="0.35">
      <c r="A65" s="103">
        <v>2</v>
      </c>
      <c r="B65" s="93" t="s">
        <v>273</v>
      </c>
      <c r="C65" s="114">
        <f t="shared" si="4"/>
        <v>5000000</v>
      </c>
      <c r="D65" s="126">
        <f>SUM(D66:D68)</f>
        <v>5000000</v>
      </c>
      <c r="E65" s="123"/>
      <c r="F65" s="123"/>
      <c r="G65" s="166">
        <f t="shared" si="6"/>
        <v>5000000</v>
      </c>
      <c r="H65" s="117"/>
    </row>
    <row r="66" spans="1:8" ht="15.5" x14ac:dyDescent="0.35">
      <c r="A66" s="104" t="s">
        <v>37</v>
      </c>
      <c r="B66" s="101" t="s">
        <v>274</v>
      </c>
      <c r="C66" s="117">
        <f t="shared" si="4"/>
        <v>1200000</v>
      </c>
      <c r="D66" s="114">
        <v>1200000</v>
      </c>
      <c r="E66" s="114"/>
      <c r="F66" s="114"/>
      <c r="G66" s="166">
        <f t="shared" si="6"/>
        <v>1200000</v>
      </c>
      <c r="H66" s="114"/>
    </row>
    <row r="67" spans="1:8" ht="31" x14ac:dyDescent="0.35">
      <c r="A67" s="104" t="s">
        <v>37</v>
      </c>
      <c r="B67" s="101" t="s">
        <v>275</v>
      </c>
      <c r="C67" s="117">
        <f t="shared" si="4"/>
        <v>1500000</v>
      </c>
      <c r="D67" s="113">
        <v>1500000</v>
      </c>
      <c r="E67" s="117"/>
      <c r="F67" s="117"/>
      <c r="G67" s="166">
        <f t="shared" si="6"/>
        <v>1500000</v>
      </c>
      <c r="H67" s="241"/>
    </row>
    <row r="68" spans="1:8" ht="15.5" x14ac:dyDescent="0.35">
      <c r="A68" s="104" t="s">
        <v>37</v>
      </c>
      <c r="B68" s="101" t="s">
        <v>276</v>
      </c>
      <c r="C68" s="117">
        <f>D68+E68</f>
        <v>2680000</v>
      </c>
      <c r="D68" s="113">
        <v>2300000</v>
      </c>
      <c r="E68" s="117">
        <v>380000</v>
      </c>
      <c r="F68" s="117"/>
      <c r="G68" s="166">
        <f t="shared" si="6"/>
        <v>2680000</v>
      </c>
      <c r="H68" s="242"/>
    </row>
    <row r="69" spans="1:8" ht="15.5" x14ac:dyDescent="0.35">
      <c r="A69" s="103">
        <v>3</v>
      </c>
      <c r="B69" s="93" t="s">
        <v>277</v>
      </c>
      <c r="C69" s="114">
        <f t="shared" si="4"/>
        <v>1820000</v>
      </c>
      <c r="D69" s="112">
        <f>SUM(D70:D72)</f>
        <v>1820000</v>
      </c>
      <c r="E69" s="117"/>
      <c r="F69" s="117"/>
      <c r="G69" s="166">
        <f t="shared" si="6"/>
        <v>1820000</v>
      </c>
      <c r="H69" s="243"/>
    </row>
    <row r="70" spans="1:8" ht="15.5" x14ac:dyDescent="0.35">
      <c r="A70" s="104" t="s">
        <v>37</v>
      </c>
      <c r="B70" s="101" t="s">
        <v>278</v>
      </c>
      <c r="C70" s="117">
        <f t="shared" si="4"/>
        <v>391000</v>
      </c>
      <c r="D70" s="114">
        <v>391000</v>
      </c>
      <c r="E70" s="114"/>
      <c r="F70" s="114"/>
      <c r="G70" s="166">
        <f t="shared" si="6"/>
        <v>391000</v>
      </c>
      <c r="H70" s="114"/>
    </row>
    <row r="71" spans="1:8" ht="15.5" x14ac:dyDescent="0.35">
      <c r="A71" s="104" t="s">
        <v>37</v>
      </c>
      <c r="B71" s="101" t="s">
        <v>279</v>
      </c>
      <c r="C71" s="117">
        <f t="shared" si="4"/>
        <v>629000</v>
      </c>
      <c r="D71" s="117">
        <v>629000</v>
      </c>
      <c r="E71" s="117"/>
      <c r="F71" s="117"/>
      <c r="G71" s="166">
        <f t="shared" si="6"/>
        <v>629000</v>
      </c>
      <c r="H71" s="118"/>
    </row>
    <row r="72" spans="1:8" ht="15.5" x14ac:dyDescent="0.35">
      <c r="A72" s="104" t="s">
        <v>37</v>
      </c>
      <c r="B72" s="101" t="s">
        <v>280</v>
      </c>
      <c r="C72" s="117">
        <f t="shared" si="4"/>
        <v>800000</v>
      </c>
      <c r="D72" s="117">
        <v>800000</v>
      </c>
      <c r="E72" s="117"/>
      <c r="F72" s="117"/>
      <c r="G72" s="166">
        <f t="shared" si="6"/>
        <v>800000</v>
      </c>
      <c r="H72" s="118"/>
    </row>
    <row r="73" spans="1:8" ht="30" x14ac:dyDescent="0.35">
      <c r="A73" s="103">
        <v>4</v>
      </c>
      <c r="B73" s="93" t="s">
        <v>281</v>
      </c>
      <c r="C73" s="114">
        <f t="shared" si="4"/>
        <v>400000</v>
      </c>
      <c r="D73" s="114">
        <v>400000</v>
      </c>
      <c r="E73" s="117"/>
      <c r="F73" s="117"/>
      <c r="G73" s="166">
        <f t="shared" si="6"/>
        <v>400000</v>
      </c>
      <c r="H73" s="118"/>
    </row>
    <row r="74" spans="1:8" ht="15.5" x14ac:dyDescent="0.35">
      <c r="A74" s="103">
        <v>5</v>
      </c>
      <c r="B74" s="93" t="s">
        <v>282</v>
      </c>
      <c r="C74" s="114">
        <f t="shared" si="4"/>
        <v>4600000</v>
      </c>
      <c r="D74" s="114">
        <f>4600000</f>
        <v>4600000</v>
      </c>
      <c r="E74" s="117"/>
      <c r="F74" s="117"/>
      <c r="G74" s="166">
        <f t="shared" si="6"/>
        <v>4600000</v>
      </c>
      <c r="H74" s="118"/>
    </row>
    <row r="75" spans="1:8" ht="15.5" x14ac:dyDescent="0.35">
      <c r="A75" s="103" t="s">
        <v>27</v>
      </c>
      <c r="B75" s="93" t="s">
        <v>283</v>
      </c>
      <c r="C75" s="114">
        <f>SUM(C76:C89)</f>
        <v>27649494</v>
      </c>
      <c r="D75" s="114">
        <f>SUM(D76:D89)</f>
        <v>27649494</v>
      </c>
      <c r="E75" s="117"/>
      <c r="F75" s="117"/>
      <c r="G75" s="166">
        <f t="shared" si="6"/>
        <v>27649494</v>
      </c>
      <c r="H75" s="118"/>
    </row>
    <row r="76" spans="1:8" ht="15.5" x14ac:dyDescent="0.35">
      <c r="A76" s="104">
        <v>1</v>
      </c>
      <c r="B76" s="106" t="s">
        <v>347</v>
      </c>
      <c r="C76" s="117">
        <f t="shared" ref="C76:C89" si="7">D76</f>
        <v>1120200</v>
      </c>
      <c r="D76" s="117">
        <f>93350*12</f>
        <v>1120200</v>
      </c>
      <c r="E76" s="117"/>
      <c r="F76" s="117"/>
      <c r="G76" s="166">
        <f t="shared" si="6"/>
        <v>1120200</v>
      </c>
      <c r="H76" s="118"/>
    </row>
    <row r="77" spans="1:8" ht="15.5" x14ac:dyDescent="0.35">
      <c r="A77" s="104">
        <v>2</v>
      </c>
      <c r="B77" s="106" t="s">
        <v>348</v>
      </c>
      <c r="C77" s="117">
        <f t="shared" si="7"/>
        <v>31590</v>
      </c>
      <c r="D77" s="113">
        <f>25*2340*4.5%*12</f>
        <v>31590</v>
      </c>
      <c r="E77" s="117"/>
      <c r="F77" s="117"/>
      <c r="G77" s="166">
        <f t="shared" si="6"/>
        <v>31590</v>
      </c>
      <c r="H77" s="118"/>
    </row>
    <row r="78" spans="1:8" ht="15.5" x14ac:dyDescent="0.35">
      <c r="A78" s="104">
        <v>3</v>
      </c>
      <c r="B78" s="101" t="s">
        <v>284</v>
      </c>
      <c r="C78" s="117">
        <f t="shared" si="7"/>
        <v>12960</v>
      </c>
      <c r="D78" s="113">
        <f>9*120*12</f>
        <v>12960</v>
      </c>
      <c r="E78" s="117"/>
      <c r="F78" s="117"/>
      <c r="G78" s="166">
        <f t="shared" si="6"/>
        <v>12960</v>
      </c>
      <c r="H78" s="118"/>
    </row>
    <row r="79" spans="1:8" ht="31" x14ac:dyDescent="0.35">
      <c r="A79" s="104">
        <v>4</v>
      </c>
      <c r="B79" s="105" t="s">
        <v>285</v>
      </c>
      <c r="C79" s="117">
        <f t="shared" si="7"/>
        <v>101000</v>
      </c>
      <c r="D79" s="113">
        <v>101000</v>
      </c>
      <c r="E79" s="117"/>
      <c r="F79" s="117"/>
      <c r="G79" s="166">
        <f t="shared" si="6"/>
        <v>101000</v>
      </c>
      <c r="H79" s="118"/>
    </row>
    <row r="80" spans="1:8" ht="46.5" x14ac:dyDescent="0.35">
      <c r="A80" s="104">
        <v>5</v>
      </c>
      <c r="B80" s="105" t="s">
        <v>349</v>
      </c>
      <c r="C80" s="117">
        <f t="shared" si="7"/>
        <v>10594000</v>
      </c>
      <c r="D80" s="113">
        <v>10594000</v>
      </c>
      <c r="E80" s="117"/>
      <c r="F80" s="117"/>
      <c r="G80" s="166">
        <f t="shared" si="6"/>
        <v>10594000</v>
      </c>
      <c r="H80" s="118"/>
    </row>
    <row r="81" spans="1:8" ht="15.5" x14ac:dyDescent="0.35">
      <c r="A81" s="104">
        <v>6</v>
      </c>
      <c r="B81" s="105" t="s">
        <v>286</v>
      </c>
      <c r="C81" s="117">
        <f t="shared" si="7"/>
        <v>2607000</v>
      </c>
      <c r="D81" s="113">
        <v>2607000</v>
      </c>
      <c r="E81" s="117"/>
      <c r="F81" s="117"/>
      <c r="G81" s="166">
        <f t="shared" si="6"/>
        <v>2607000</v>
      </c>
      <c r="H81" s="118"/>
    </row>
    <row r="82" spans="1:8" ht="15.5" x14ac:dyDescent="0.35">
      <c r="A82" s="104">
        <v>7</v>
      </c>
      <c r="B82" s="105" t="s">
        <v>287</v>
      </c>
      <c r="C82" s="117">
        <f t="shared" si="7"/>
        <v>187000</v>
      </c>
      <c r="D82" s="124">
        <v>187000</v>
      </c>
      <c r="E82" s="123"/>
      <c r="F82" s="123"/>
      <c r="G82" s="166">
        <f t="shared" si="6"/>
        <v>187000</v>
      </c>
      <c r="H82" s="117"/>
    </row>
    <row r="83" spans="1:8" ht="31" x14ac:dyDescent="0.35">
      <c r="A83" s="104">
        <v>8</v>
      </c>
      <c r="B83" s="105" t="s">
        <v>288</v>
      </c>
      <c r="C83" s="117">
        <f t="shared" si="7"/>
        <v>113000</v>
      </c>
      <c r="D83" s="117">
        <v>113000</v>
      </c>
      <c r="E83" s="114"/>
      <c r="F83" s="114"/>
      <c r="G83" s="166">
        <f t="shared" si="6"/>
        <v>113000</v>
      </c>
      <c r="H83" s="114"/>
    </row>
    <row r="84" spans="1:8" ht="15.5" x14ac:dyDescent="0.35">
      <c r="A84" s="104">
        <v>9</v>
      </c>
      <c r="B84" s="105" t="s">
        <v>350</v>
      </c>
      <c r="C84" s="117">
        <f t="shared" si="7"/>
        <v>655000</v>
      </c>
      <c r="D84" s="113">
        <v>655000</v>
      </c>
      <c r="E84" s="117"/>
      <c r="F84" s="117"/>
      <c r="G84" s="166">
        <f t="shared" si="6"/>
        <v>655000</v>
      </c>
      <c r="H84" s="118"/>
    </row>
    <row r="85" spans="1:8" ht="51" customHeight="1" x14ac:dyDescent="0.35">
      <c r="A85" s="104">
        <v>10</v>
      </c>
      <c r="B85" s="105" t="s">
        <v>289</v>
      </c>
      <c r="C85" s="117">
        <f t="shared" si="7"/>
        <v>31000</v>
      </c>
      <c r="D85" s="117">
        <v>31000</v>
      </c>
      <c r="E85" s="114"/>
      <c r="F85" s="114"/>
      <c r="G85" s="166">
        <f t="shared" si="6"/>
        <v>31000</v>
      </c>
      <c r="H85" s="114"/>
    </row>
    <row r="86" spans="1:8" ht="62" x14ac:dyDescent="0.35">
      <c r="A86" s="104">
        <v>11</v>
      </c>
      <c r="B86" s="105" t="s">
        <v>351</v>
      </c>
      <c r="C86" s="117">
        <f t="shared" si="7"/>
        <v>646000</v>
      </c>
      <c r="D86" s="113">
        <v>646000</v>
      </c>
      <c r="E86" s="113"/>
      <c r="F86" s="113"/>
      <c r="G86" s="166">
        <f t="shared" si="6"/>
        <v>646000</v>
      </c>
      <c r="H86" s="118"/>
    </row>
    <row r="87" spans="1:8" ht="31" x14ac:dyDescent="0.35">
      <c r="A87" s="104">
        <v>12</v>
      </c>
      <c r="B87" s="105" t="s">
        <v>290</v>
      </c>
      <c r="C87" s="117">
        <f t="shared" si="7"/>
        <v>10243776</v>
      </c>
      <c r="D87" s="113">
        <v>10243776</v>
      </c>
      <c r="E87" s="117"/>
      <c r="F87" s="117"/>
      <c r="G87" s="166">
        <f t="shared" si="6"/>
        <v>10243776</v>
      </c>
      <c r="H87" s="118"/>
    </row>
    <row r="88" spans="1:8" ht="21.65" customHeight="1" x14ac:dyDescent="0.35">
      <c r="A88" s="104">
        <v>13</v>
      </c>
      <c r="B88" s="105" t="s">
        <v>291</v>
      </c>
      <c r="C88" s="117">
        <f t="shared" si="7"/>
        <v>281000</v>
      </c>
      <c r="D88" s="113">
        <v>281000</v>
      </c>
      <c r="E88" s="112"/>
      <c r="F88" s="112"/>
      <c r="G88" s="166">
        <f t="shared" si="6"/>
        <v>281000</v>
      </c>
      <c r="H88" s="112"/>
    </row>
    <row r="89" spans="1:8" ht="46.5" x14ac:dyDescent="0.35">
      <c r="A89" s="104">
        <v>14</v>
      </c>
      <c r="B89" s="105" t="s">
        <v>352</v>
      </c>
      <c r="C89" s="117">
        <f t="shared" si="7"/>
        <v>1025968</v>
      </c>
      <c r="D89" s="124">
        <f>1021224+3710+930+104</f>
        <v>1025968</v>
      </c>
      <c r="E89" s="123"/>
      <c r="F89" s="123"/>
      <c r="G89" s="166">
        <f t="shared" si="6"/>
        <v>1025968</v>
      </c>
      <c r="H89" s="118"/>
    </row>
    <row r="90" spans="1:8" ht="21.75" customHeight="1" x14ac:dyDescent="0.35">
      <c r="A90" s="103" t="s">
        <v>32</v>
      </c>
      <c r="B90" s="94" t="s">
        <v>292</v>
      </c>
      <c r="C90" s="114">
        <f>D90+E90</f>
        <v>15606347.616</v>
      </c>
      <c r="D90" s="114">
        <f>D91+D106</f>
        <v>11254147.616</v>
      </c>
      <c r="E90" s="114">
        <f>E91+E106</f>
        <v>4352200</v>
      </c>
      <c r="F90" s="114">
        <f>F91+F106</f>
        <v>1006764</v>
      </c>
      <c r="G90" s="61">
        <f>C90-F90</f>
        <v>14599583.616</v>
      </c>
      <c r="H90" s="114"/>
    </row>
    <row r="91" spans="1:8" ht="15.5" x14ac:dyDescent="0.35">
      <c r="A91" s="103">
        <v>1</v>
      </c>
      <c r="B91" s="107" t="s">
        <v>293</v>
      </c>
      <c r="C91" s="114">
        <f>D91+E91</f>
        <v>9299347.6160000004</v>
      </c>
      <c r="D91" s="114">
        <f>SUM(D92:D105)</f>
        <v>9067147.6160000004</v>
      </c>
      <c r="E91" s="114">
        <f>E104</f>
        <v>232200</v>
      </c>
      <c r="F91" s="114">
        <f>F94</f>
        <v>227564</v>
      </c>
      <c r="G91" s="166">
        <f t="shared" si="6"/>
        <v>9071783.6160000004</v>
      </c>
      <c r="H91" s="118"/>
    </row>
    <row r="92" spans="1:8" ht="31" x14ac:dyDescent="0.35">
      <c r="A92" s="104" t="s">
        <v>37</v>
      </c>
      <c r="B92" s="106" t="s">
        <v>353</v>
      </c>
      <c r="C92" s="117">
        <f t="shared" ref="C92:C105" si="8">D92+E92</f>
        <v>5360752.8</v>
      </c>
      <c r="D92" s="117">
        <f>190.91*2340*12</f>
        <v>5360752.8</v>
      </c>
      <c r="E92" s="117"/>
      <c r="F92" s="117"/>
      <c r="G92" s="166">
        <f t="shared" si="6"/>
        <v>5360752.8</v>
      </c>
      <c r="H92" s="123"/>
    </row>
    <row r="93" spans="1:8" ht="31" x14ac:dyDescent="0.35">
      <c r="A93" s="104" t="s">
        <v>37</v>
      </c>
      <c r="B93" s="106" t="s">
        <v>354</v>
      </c>
      <c r="C93" s="117">
        <f t="shared" si="8"/>
        <v>834908.25599999982</v>
      </c>
      <c r="D93" s="117">
        <f>(139.92+4.42+0.7)*2340*20.5%*12</f>
        <v>834908.25599999982</v>
      </c>
      <c r="E93" s="117"/>
      <c r="F93" s="117"/>
      <c r="G93" s="166">
        <f t="shared" si="6"/>
        <v>834908.25599999982</v>
      </c>
      <c r="H93" s="123"/>
    </row>
    <row r="94" spans="1:8" ht="15.5" x14ac:dyDescent="0.35">
      <c r="A94" s="104" t="s">
        <v>37</v>
      </c>
      <c r="B94" s="106" t="s">
        <v>294</v>
      </c>
      <c r="C94" s="117">
        <f t="shared" si="8"/>
        <v>1067824</v>
      </c>
      <c r="D94" s="117">
        <f>1024042-113782+227564-70000</f>
        <v>1067824</v>
      </c>
      <c r="E94" s="117"/>
      <c r="F94" s="117">
        <v>227564</v>
      </c>
      <c r="G94" s="166">
        <f t="shared" si="6"/>
        <v>840260</v>
      </c>
      <c r="H94" s="123"/>
    </row>
    <row r="95" spans="1:8" ht="15.5" x14ac:dyDescent="0.35">
      <c r="A95" s="104" t="s">
        <v>37</v>
      </c>
      <c r="B95" s="106" t="s">
        <v>259</v>
      </c>
      <c r="C95" s="117">
        <f t="shared" si="8"/>
        <v>408760.55999999994</v>
      </c>
      <c r="D95" s="117">
        <f>145.57*2340*10%*12</f>
        <v>408760.55999999994</v>
      </c>
      <c r="E95" s="117"/>
      <c r="F95" s="117"/>
      <c r="G95" s="166">
        <f t="shared" si="6"/>
        <v>408760.55999999994</v>
      </c>
      <c r="H95" s="123"/>
    </row>
    <row r="96" spans="1:8" ht="31" x14ac:dyDescent="0.35">
      <c r="A96" s="104" t="s">
        <v>37</v>
      </c>
      <c r="B96" s="101" t="s">
        <v>355</v>
      </c>
      <c r="C96" s="117">
        <f t="shared" si="8"/>
        <v>229554</v>
      </c>
      <c r="D96" s="117">
        <f>(52*2340*0.3*3)+(19*2340*0.3*9)</f>
        <v>229554</v>
      </c>
      <c r="E96" s="117"/>
      <c r="F96" s="117"/>
      <c r="G96" s="166">
        <f t="shared" si="6"/>
        <v>229554</v>
      </c>
      <c r="H96" s="117"/>
    </row>
    <row r="97" spans="1:11" ht="15.5" x14ac:dyDescent="0.35">
      <c r="A97" s="104" t="s">
        <v>37</v>
      </c>
      <c r="B97" s="101" t="s">
        <v>356</v>
      </c>
      <c r="C97" s="117">
        <f t="shared" si="8"/>
        <v>11372</v>
      </c>
      <c r="D97" s="117">
        <v>11372</v>
      </c>
      <c r="E97" s="117"/>
      <c r="F97" s="117"/>
      <c r="G97" s="166">
        <f t="shared" si="6"/>
        <v>11372</v>
      </c>
      <c r="H97" s="117"/>
    </row>
    <row r="98" spans="1:11" ht="15.5" x14ac:dyDescent="0.35">
      <c r="A98" s="104" t="s">
        <v>37</v>
      </c>
      <c r="B98" s="100" t="s">
        <v>357</v>
      </c>
      <c r="C98" s="117">
        <f t="shared" si="8"/>
        <v>269568</v>
      </c>
      <c r="D98" s="117">
        <f>2.4*2340*12*4</f>
        <v>269568</v>
      </c>
      <c r="E98" s="117"/>
      <c r="F98" s="117"/>
      <c r="G98" s="166">
        <f t="shared" si="6"/>
        <v>269568</v>
      </c>
      <c r="H98" s="117"/>
    </row>
    <row r="99" spans="1:11" ht="15.5" x14ac:dyDescent="0.35">
      <c r="A99" s="104" t="s">
        <v>37</v>
      </c>
      <c r="B99" s="100" t="s">
        <v>358</v>
      </c>
      <c r="C99" s="117">
        <f t="shared" si="8"/>
        <v>606528</v>
      </c>
      <c r="D99" s="117">
        <f>1.8*2340*12*12</f>
        <v>606528</v>
      </c>
      <c r="E99" s="117"/>
      <c r="F99" s="117"/>
      <c r="G99" s="166">
        <f t="shared" si="6"/>
        <v>606528</v>
      </c>
      <c r="H99" s="117"/>
    </row>
    <row r="100" spans="1:11" ht="15.5" x14ac:dyDescent="0.35">
      <c r="A100" s="104" t="s">
        <v>37</v>
      </c>
      <c r="B100" s="106" t="s">
        <v>295</v>
      </c>
      <c r="C100" s="117">
        <f t="shared" si="8"/>
        <v>32760</v>
      </c>
      <c r="D100" s="125">
        <f>1.4*2340*2*5</f>
        <v>32760</v>
      </c>
      <c r="E100" s="125"/>
      <c r="F100" s="125"/>
      <c r="G100" s="166">
        <f t="shared" si="6"/>
        <v>32760</v>
      </c>
      <c r="H100" s="118"/>
    </row>
    <row r="101" spans="1:11" ht="15.5" x14ac:dyDescent="0.35">
      <c r="A101" s="104" t="s">
        <v>37</v>
      </c>
      <c r="B101" s="101" t="s">
        <v>359</v>
      </c>
      <c r="C101" s="117">
        <f t="shared" si="8"/>
        <v>7920</v>
      </c>
      <c r="D101" s="117">
        <f>330*12*2</f>
        <v>7920</v>
      </c>
      <c r="E101" s="117"/>
      <c r="F101" s="117"/>
      <c r="G101" s="166">
        <f t="shared" si="6"/>
        <v>7920</v>
      </c>
      <c r="H101" s="118"/>
    </row>
    <row r="102" spans="1:11" ht="15.5" x14ac:dyDescent="0.35">
      <c r="A102" s="104" t="s">
        <v>37</v>
      </c>
      <c r="B102" s="101" t="s">
        <v>296</v>
      </c>
      <c r="C102" s="117">
        <f t="shared" si="8"/>
        <v>10000</v>
      </c>
      <c r="D102" s="117">
        <v>10000</v>
      </c>
      <c r="E102" s="117"/>
      <c r="F102" s="117"/>
      <c r="G102" s="166">
        <f t="shared" si="6"/>
        <v>10000</v>
      </c>
      <c r="H102" s="118"/>
    </row>
    <row r="103" spans="1:11" ht="15.5" x14ac:dyDescent="0.35">
      <c r="A103" s="104" t="s">
        <v>37</v>
      </c>
      <c r="B103" s="101" t="s">
        <v>297</v>
      </c>
      <c r="C103" s="117">
        <f t="shared" si="8"/>
        <v>112000</v>
      </c>
      <c r="D103" s="117">
        <v>112000</v>
      </c>
      <c r="E103" s="117"/>
      <c r="F103" s="117"/>
      <c r="G103" s="166">
        <f t="shared" si="6"/>
        <v>112000</v>
      </c>
      <c r="H103" s="118"/>
    </row>
    <row r="104" spans="1:11" ht="15.5" x14ac:dyDescent="0.35">
      <c r="A104" s="104" t="s">
        <v>37</v>
      </c>
      <c r="B104" s="101" t="s">
        <v>298</v>
      </c>
      <c r="C104" s="117">
        <f t="shared" si="8"/>
        <v>232200</v>
      </c>
      <c r="D104" s="117">
        <v>0</v>
      </c>
      <c r="E104" s="117">
        <v>232200</v>
      </c>
      <c r="F104" s="117"/>
      <c r="G104" s="166">
        <f t="shared" si="6"/>
        <v>232200</v>
      </c>
      <c r="H104" s="118"/>
    </row>
    <row r="105" spans="1:11" ht="15.5" x14ac:dyDescent="0.35">
      <c r="A105" s="104" t="s">
        <v>37</v>
      </c>
      <c r="B105" s="101" t="s">
        <v>299</v>
      </c>
      <c r="C105" s="117">
        <f t="shared" si="8"/>
        <v>115200</v>
      </c>
      <c r="D105" s="117">
        <v>115200</v>
      </c>
      <c r="E105" s="117"/>
      <c r="F105" s="117"/>
      <c r="G105" s="166">
        <f t="shared" si="6"/>
        <v>115200</v>
      </c>
      <c r="H105" s="118"/>
    </row>
    <row r="106" spans="1:11" ht="15.5" x14ac:dyDescent="0.35">
      <c r="A106" s="103">
        <v>2</v>
      </c>
      <c r="B106" s="93" t="s">
        <v>300</v>
      </c>
      <c r="C106" s="114">
        <f>C107+C121+C124</f>
        <v>6307000</v>
      </c>
      <c r="D106" s="114">
        <f>D107+D121</f>
        <v>2187000</v>
      </c>
      <c r="E106" s="114">
        <f>E107+E121+E124</f>
        <v>4120000</v>
      </c>
      <c r="F106" s="114">
        <f>F107+F123</f>
        <v>779200</v>
      </c>
      <c r="G106" s="166">
        <f t="shared" si="6"/>
        <v>5527800</v>
      </c>
      <c r="H106" s="118"/>
    </row>
    <row r="107" spans="1:11" ht="15.5" x14ac:dyDescent="0.35">
      <c r="A107" s="103" t="s">
        <v>19</v>
      </c>
      <c r="B107" s="96" t="s">
        <v>301</v>
      </c>
      <c r="C107" s="114">
        <f>D107+E107</f>
        <v>3576000</v>
      </c>
      <c r="D107" s="114">
        <f>SUM(D108:D120)</f>
        <v>1356000</v>
      </c>
      <c r="E107" s="114">
        <f>SUM(E109:E120)</f>
        <v>2220000</v>
      </c>
      <c r="F107" s="114">
        <f>SUM(F108:F120)</f>
        <v>699200</v>
      </c>
      <c r="G107" s="166">
        <f t="shared" si="6"/>
        <v>2876800</v>
      </c>
      <c r="H107" s="118"/>
    </row>
    <row r="108" spans="1:11" ht="15.5" x14ac:dyDescent="0.35">
      <c r="A108" s="103" t="s">
        <v>37</v>
      </c>
      <c r="B108" s="96" t="s">
        <v>303</v>
      </c>
      <c r="C108" s="117">
        <f t="shared" ref="C108:C120" si="9">D108+E108</f>
        <v>40000</v>
      </c>
      <c r="D108" s="117">
        <v>40000</v>
      </c>
      <c r="E108" s="117">
        <v>0</v>
      </c>
      <c r="F108" s="117"/>
      <c r="G108" s="166">
        <f t="shared" si="6"/>
        <v>40000</v>
      </c>
      <c r="H108" s="118"/>
    </row>
    <row r="109" spans="1:11" ht="62" x14ac:dyDescent="0.35">
      <c r="A109" s="104" t="s">
        <v>37</v>
      </c>
      <c r="B109" s="106" t="s">
        <v>302</v>
      </c>
      <c r="C109" s="117">
        <f t="shared" si="9"/>
        <v>40000</v>
      </c>
      <c r="D109" s="113">
        <v>0</v>
      </c>
      <c r="E109" s="117">
        <v>40000</v>
      </c>
      <c r="F109" s="117"/>
      <c r="G109" s="166">
        <f t="shared" si="6"/>
        <v>40000</v>
      </c>
      <c r="H109" s="118"/>
      <c r="K109" s="129"/>
    </row>
    <row r="110" spans="1:11" ht="15.5" x14ac:dyDescent="0.35">
      <c r="A110" s="104" t="s">
        <v>37</v>
      </c>
      <c r="B110" s="106" t="s">
        <v>421</v>
      </c>
      <c r="C110" s="117">
        <f t="shared" si="9"/>
        <v>100000</v>
      </c>
      <c r="D110" s="113">
        <v>0</v>
      </c>
      <c r="E110" s="117">
        <v>100000</v>
      </c>
      <c r="F110" s="117">
        <f>E110*20%</f>
        <v>20000</v>
      </c>
      <c r="G110" s="166">
        <f t="shared" si="6"/>
        <v>80000</v>
      </c>
      <c r="H110" s="118"/>
      <c r="K110" s="129"/>
    </row>
    <row r="111" spans="1:11" ht="15.5" x14ac:dyDescent="0.35">
      <c r="A111" s="104" t="s">
        <v>37</v>
      </c>
      <c r="B111" s="106" t="s">
        <v>360</v>
      </c>
      <c r="C111" s="117">
        <f t="shared" si="9"/>
        <v>300000</v>
      </c>
      <c r="D111" s="113">
        <v>0</v>
      </c>
      <c r="E111" s="127">
        <v>300000</v>
      </c>
      <c r="F111" s="117">
        <f t="shared" ref="F111:F119" si="10">E111*20%</f>
        <v>60000</v>
      </c>
      <c r="G111" s="166">
        <f t="shared" si="6"/>
        <v>240000</v>
      </c>
      <c r="H111" s="118"/>
    </row>
    <row r="112" spans="1:11" ht="15.5" x14ac:dyDescent="0.35">
      <c r="A112" s="104" t="s">
        <v>37</v>
      </c>
      <c r="B112" s="98" t="s">
        <v>333</v>
      </c>
      <c r="C112" s="117">
        <f t="shared" si="9"/>
        <v>240000</v>
      </c>
      <c r="D112" s="113">
        <v>0</v>
      </c>
      <c r="E112" s="123">
        <v>240000</v>
      </c>
      <c r="F112" s="117">
        <f t="shared" si="10"/>
        <v>48000</v>
      </c>
      <c r="G112" s="166">
        <f t="shared" si="6"/>
        <v>192000</v>
      </c>
      <c r="H112" s="118"/>
    </row>
    <row r="113" spans="1:8" ht="15.5" x14ac:dyDescent="0.35">
      <c r="A113" s="104" t="s">
        <v>37</v>
      </c>
      <c r="B113" s="98" t="s">
        <v>304</v>
      </c>
      <c r="C113" s="117">
        <f t="shared" si="9"/>
        <v>280000</v>
      </c>
      <c r="D113" s="113">
        <v>0</v>
      </c>
      <c r="E113" s="123">
        <v>280000</v>
      </c>
      <c r="F113" s="117">
        <f t="shared" si="10"/>
        <v>56000</v>
      </c>
      <c r="G113" s="166">
        <f t="shared" si="6"/>
        <v>224000</v>
      </c>
      <c r="H113" s="118"/>
    </row>
    <row r="114" spans="1:8" ht="15.5" x14ac:dyDescent="0.35">
      <c r="A114" s="104" t="s">
        <v>37</v>
      </c>
      <c r="B114" s="98" t="s">
        <v>361</v>
      </c>
      <c r="C114" s="117">
        <f t="shared" si="9"/>
        <v>250000</v>
      </c>
      <c r="D114" s="113">
        <v>0</v>
      </c>
      <c r="E114" s="123">
        <v>250000</v>
      </c>
      <c r="F114" s="117">
        <f t="shared" si="10"/>
        <v>50000</v>
      </c>
      <c r="G114" s="166">
        <f t="shared" si="6"/>
        <v>200000</v>
      </c>
      <c r="H114" s="118"/>
    </row>
    <row r="115" spans="1:8" ht="15.5" x14ac:dyDescent="0.35">
      <c r="A115" s="104" t="s">
        <v>37</v>
      </c>
      <c r="B115" s="101" t="s">
        <v>362</v>
      </c>
      <c r="C115" s="117">
        <f t="shared" si="9"/>
        <v>110000</v>
      </c>
      <c r="D115" s="113">
        <v>0</v>
      </c>
      <c r="E115" s="123">
        <v>110000</v>
      </c>
      <c r="F115" s="117">
        <f t="shared" si="10"/>
        <v>22000</v>
      </c>
      <c r="G115" s="166">
        <f t="shared" si="6"/>
        <v>88000</v>
      </c>
      <c r="H115" s="118"/>
    </row>
    <row r="116" spans="1:8" ht="15.5" x14ac:dyDescent="0.35">
      <c r="A116" s="104" t="s">
        <v>38</v>
      </c>
      <c r="B116" s="106" t="s">
        <v>305</v>
      </c>
      <c r="C116" s="117">
        <f t="shared" si="9"/>
        <v>500000</v>
      </c>
      <c r="D116" s="113">
        <v>0</v>
      </c>
      <c r="E116" s="123">
        <v>500000</v>
      </c>
      <c r="F116" s="117">
        <f t="shared" si="10"/>
        <v>100000</v>
      </c>
      <c r="G116" s="166">
        <f t="shared" si="6"/>
        <v>400000</v>
      </c>
      <c r="H116" s="118"/>
    </row>
    <row r="117" spans="1:8" ht="15.5" x14ac:dyDescent="0.35">
      <c r="A117" s="104" t="s">
        <v>37</v>
      </c>
      <c r="B117" s="106" t="s">
        <v>306</v>
      </c>
      <c r="C117" s="117">
        <f t="shared" si="9"/>
        <v>150000</v>
      </c>
      <c r="D117" s="113">
        <v>0</v>
      </c>
      <c r="E117" s="123">
        <v>150000</v>
      </c>
      <c r="F117" s="117">
        <f t="shared" si="10"/>
        <v>30000</v>
      </c>
      <c r="G117" s="166">
        <f t="shared" si="6"/>
        <v>120000</v>
      </c>
      <c r="H117" s="118"/>
    </row>
    <row r="118" spans="1:8" ht="15.5" x14ac:dyDescent="0.35">
      <c r="A118" s="104" t="s">
        <v>37</v>
      </c>
      <c r="B118" s="106" t="s">
        <v>307</v>
      </c>
      <c r="C118" s="117">
        <f t="shared" si="9"/>
        <v>150000</v>
      </c>
      <c r="D118" s="113">
        <v>0</v>
      </c>
      <c r="E118" s="123">
        <v>150000</v>
      </c>
      <c r="F118" s="117">
        <f t="shared" si="10"/>
        <v>30000</v>
      </c>
      <c r="G118" s="166">
        <f t="shared" si="6"/>
        <v>120000</v>
      </c>
      <c r="H118" s="118"/>
    </row>
    <row r="119" spans="1:8" ht="15.5" x14ac:dyDescent="0.35">
      <c r="A119" s="104" t="s">
        <v>37</v>
      </c>
      <c r="B119" s="106" t="s">
        <v>308</v>
      </c>
      <c r="C119" s="117">
        <f t="shared" si="9"/>
        <v>100000</v>
      </c>
      <c r="D119" s="113">
        <v>0</v>
      </c>
      <c r="E119" s="123">
        <v>100000</v>
      </c>
      <c r="F119" s="117">
        <f t="shared" si="10"/>
        <v>20000</v>
      </c>
      <c r="G119" s="166">
        <f t="shared" si="6"/>
        <v>80000</v>
      </c>
      <c r="H119" s="118"/>
    </row>
    <row r="120" spans="1:8" ht="36" customHeight="1" x14ac:dyDescent="0.35">
      <c r="A120" s="104" t="s">
        <v>37</v>
      </c>
      <c r="B120" s="106" t="s">
        <v>363</v>
      </c>
      <c r="C120" s="117">
        <f t="shared" si="9"/>
        <v>1316000</v>
      </c>
      <c r="D120" s="113">
        <v>1316000</v>
      </c>
      <c r="E120" s="123">
        <v>0</v>
      </c>
      <c r="F120" s="117">
        <f>D120*20%</f>
        <v>263200</v>
      </c>
      <c r="G120" s="166">
        <f t="shared" si="6"/>
        <v>1052800</v>
      </c>
      <c r="H120" s="118"/>
    </row>
    <row r="121" spans="1:8" ht="15" x14ac:dyDescent="0.35">
      <c r="A121" s="103" t="s">
        <v>20</v>
      </c>
      <c r="B121" s="93" t="s">
        <v>364</v>
      </c>
      <c r="C121" s="122">
        <f>D121+E121</f>
        <v>1231000</v>
      </c>
      <c r="D121" s="122">
        <f>SUM(D122:D123)</f>
        <v>831000</v>
      </c>
      <c r="E121" s="122">
        <f>E123</f>
        <v>400000</v>
      </c>
      <c r="F121" s="122">
        <f>F123</f>
        <v>80000</v>
      </c>
      <c r="G121" s="166">
        <f t="shared" si="6"/>
        <v>1151000</v>
      </c>
      <c r="H121" s="122"/>
    </row>
    <row r="122" spans="1:8" ht="31" x14ac:dyDescent="0.35">
      <c r="A122" s="103" t="s">
        <v>37</v>
      </c>
      <c r="B122" s="101" t="s">
        <v>309</v>
      </c>
      <c r="C122" s="123">
        <f t="shared" ref="C122:C123" si="11">D122+E122</f>
        <v>137000</v>
      </c>
      <c r="D122" s="123">
        <v>137000</v>
      </c>
      <c r="E122" s="123"/>
      <c r="F122" s="123"/>
      <c r="G122" s="166">
        <f t="shared" si="6"/>
        <v>137000</v>
      </c>
      <c r="H122" s="122"/>
    </row>
    <row r="123" spans="1:8" ht="31" x14ac:dyDescent="0.35">
      <c r="A123" s="103" t="s">
        <v>37</v>
      </c>
      <c r="B123" s="101" t="s">
        <v>310</v>
      </c>
      <c r="C123" s="123">
        <f t="shared" si="11"/>
        <v>1094000</v>
      </c>
      <c r="D123" s="123">
        <f>694000</f>
        <v>694000</v>
      </c>
      <c r="E123" s="123">
        <v>400000</v>
      </c>
      <c r="F123" s="123">
        <f>E123*20%</f>
        <v>80000</v>
      </c>
      <c r="G123" s="166">
        <f t="shared" si="6"/>
        <v>1014000</v>
      </c>
      <c r="H123" s="122"/>
    </row>
    <row r="124" spans="1:8" ht="30" x14ac:dyDescent="0.35">
      <c r="A124" s="103" t="s">
        <v>21</v>
      </c>
      <c r="B124" s="108" t="s">
        <v>365</v>
      </c>
      <c r="C124" s="122">
        <f>E124</f>
        <v>1500000</v>
      </c>
      <c r="D124" s="122"/>
      <c r="E124" s="122">
        <v>1500000</v>
      </c>
      <c r="F124" s="122"/>
      <c r="G124" s="166">
        <f t="shared" si="6"/>
        <v>1500000</v>
      </c>
      <c r="H124" s="122"/>
    </row>
    <row r="125" spans="1:8" ht="15" x14ac:dyDescent="0.35">
      <c r="A125" s="103" t="s">
        <v>33</v>
      </c>
      <c r="B125" s="108" t="s">
        <v>204</v>
      </c>
      <c r="C125" s="122">
        <f>D125</f>
        <v>1103000.2137663816</v>
      </c>
      <c r="D125" s="122">
        <f>D126+D130</f>
        <v>1103000.2137663816</v>
      </c>
      <c r="E125" s="122"/>
      <c r="F125" s="122">
        <f>F132</f>
        <v>12206</v>
      </c>
      <c r="G125" s="166">
        <f t="shared" si="6"/>
        <v>1090794.2137663816</v>
      </c>
      <c r="H125" s="122"/>
    </row>
    <row r="126" spans="1:8" ht="19.5" customHeight="1" x14ac:dyDescent="0.35">
      <c r="A126" s="103">
        <v>1</v>
      </c>
      <c r="B126" s="108" t="s">
        <v>311</v>
      </c>
      <c r="C126" s="122">
        <f t="shared" ref="C126:C134" si="12">D126</f>
        <v>125446.38176638176</v>
      </c>
      <c r="D126" s="122">
        <f>SUM(D127:D129)</f>
        <v>125446.38176638176</v>
      </c>
      <c r="E126" s="122"/>
      <c r="F126" s="122"/>
      <c r="G126" s="166">
        <f t="shared" ref="G126:G177" si="13">C126-F126</f>
        <v>125446.38176638176</v>
      </c>
      <c r="H126" s="122"/>
    </row>
    <row r="127" spans="1:8" ht="31" x14ac:dyDescent="0.35">
      <c r="A127" s="104" t="s">
        <v>37</v>
      </c>
      <c r="B127" s="106" t="s">
        <v>312</v>
      </c>
      <c r="C127" s="122">
        <f t="shared" si="12"/>
        <v>95846</v>
      </c>
      <c r="D127" s="122">
        <v>95846</v>
      </c>
      <c r="E127" s="122"/>
      <c r="F127" s="122"/>
      <c r="G127" s="166">
        <f t="shared" si="13"/>
        <v>95846</v>
      </c>
      <c r="H127" s="122"/>
    </row>
    <row r="128" spans="1:8" ht="15.5" x14ac:dyDescent="0.35">
      <c r="A128" s="104" t="s">
        <v>37</v>
      </c>
      <c r="B128" s="100" t="s">
        <v>258</v>
      </c>
      <c r="C128" s="123">
        <f t="shared" si="12"/>
        <v>20343.381766381768</v>
      </c>
      <c r="D128" s="123">
        <v>20343.381766381768</v>
      </c>
      <c r="E128" s="122"/>
      <c r="F128" s="122"/>
      <c r="G128" s="166">
        <f t="shared" si="13"/>
        <v>20343.381766381768</v>
      </c>
      <c r="H128" s="122"/>
    </row>
    <row r="129" spans="1:8" ht="15.5" x14ac:dyDescent="0.35">
      <c r="A129" s="104" t="s">
        <v>37</v>
      </c>
      <c r="B129" s="100" t="s">
        <v>259</v>
      </c>
      <c r="C129" s="123">
        <f t="shared" si="12"/>
        <v>9257</v>
      </c>
      <c r="D129" s="123">
        <v>9257</v>
      </c>
      <c r="E129" s="122"/>
      <c r="F129" s="122"/>
      <c r="G129" s="166">
        <f t="shared" si="13"/>
        <v>9257</v>
      </c>
      <c r="H129" s="122"/>
    </row>
    <row r="130" spans="1:8" ht="15" x14ac:dyDescent="0.35">
      <c r="A130" s="103">
        <v>2</v>
      </c>
      <c r="B130" s="96" t="s">
        <v>313</v>
      </c>
      <c r="C130" s="122">
        <f t="shared" si="12"/>
        <v>977553.83199999994</v>
      </c>
      <c r="D130" s="122">
        <f>SUM(D131:D134)</f>
        <v>977553.83199999994</v>
      </c>
      <c r="E130" s="122"/>
      <c r="F130" s="122"/>
      <c r="G130" s="166">
        <f t="shared" si="13"/>
        <v>977553.83199999994</v>
      </c>
      <c r="H130" s="122"/>
    </row>
    <row r="131" spans="1:8" ht="15.5" x14ac:dyDescent="0.35">
      <c r="A131" s="104" t="s">
        <v>37</v>
      </c>
      <c r="B131" s="106" t="s">
        <v>314</v>
      </c>
      <c r="C131" s="123">
        <f t="shared" si="12"/>
        <v>686089</v>
      </c>
      <c r="D131" s="123">
        <v>686089</v>
      </c>
      <c r="E131" s="122"/>
      <c r="F131" s="122"/>
      <c r="G131" s="166">
        <f t="shared" si="13"/>
        <v>686089</v>
      </c>
      <c r="H131" s="122"/>
    </row>
    <row r="132" spans="1:8" ht="31" x14ac:dyDescent="0.35">
      <c r="A132" s="104" t="s">
        <v>37</v>
      </c>
      <c r="B132" s="106" t="s">
        <v>366</v>
      </c>
      <c r="C132" s="123">
        <f t="shared" si="12"/>
        <v>113861.59199999998</v>
      </c>
      <c r="D132" s="123">
        <f>(19.58+0.2)*2340*20.5%*12</f>
        <v>113861.59199999998</v>
      </c>
      <c r="E132" s="122"/>
      <c r="F132" s="123">
        <v>12206</v>
      </c>
      <c r="G132" s="166">
        <f t="shared" si="13"/>
        <v>101655.59199999998</v>
      </c>
      <c r="H132" s="122"/>
    </row>
    <row r="133" spans="1:8" ht="15.5" x14ac:dyDescent="0.35">
      <c r="A133" s="104" t="s">
        <v>37</v>
      </c>
      <c r="B133" s="106" t="s">
        <v>258</v>
      </c>
      <c r="C133" s="123">
        <f t="shared" si="12"/>
        <v>122061</v>
      </c>
      <c r="D133" s="123">
        <f>109855+12206</f>
        <v>122061</v>
      </c>
      <c r="E133" s="122"/>
      <c r="F133" s="122"/>
      <c r="G133" s="166">
        <f t="shared" si="13"/>
        <v>122061</v>
      </c>
      <c r="H133" s="122"/>
    </row>
    <row r="134" spans="1:8" ht="15.5" x14ac:dyDescent="0.35">
      <c r="A134" s="104" t="s">
        <v>37</v>
      </c>
      <c r="B134" s="106" t="s">
        <v>260</v>
      </c>
      <c r="C134" s="123">
        <f t="shared" si="12"/>
        <v>55542.240000000005</v>
      </c>
      <c r="D134" s="123">
        <f>19.78*2340*10%*12</f>
        <v>55542.240000000005</v>
      </c>
      <c r="E134" s="122"/>
      <c r="F134" s="122"/>
      <c r="G134" s="166">
        <f t="shared" si="13"/>
        <v>55542.240000000005</v>
      </c>
      <c r="H134" s="122"/>
    </row>
    <row r="135" spans="1:8" ht="15" x14ac:dyDescent="0.35">
      <c r="A135" s="103" t="s">
        <v>34</v>
      </c>
      <c r="B135" s="94" t="s">
        <v>315</v>
      </c>
      <c r="C135" s="122">
        <f>D135+E135</f>
        <v>10004308.872</v>
      </c>
      <c r="D135" s="122">
        <f>D136+D146</f>
        <v>7846508.8719999995</v>
      </c>
      <c r="E135" s="122">
        <f>E146</f>
        <v>2157800</v>
      </c>
      <c r="F135" s="122">
        <f>F136+F146</f>
        <v>891930</v>
      </c>
      <c r="G135" s="166">
        <f t="shared" si="13"/>
        <v>9112378.8719999995</v>
      </c>
      <c r="H135" s="122"/>
    </row>
    <row r="136" spans="1:8" ht="15" x14ac:dyDescent="0.35">
      <c r="A136" s="103">
        <v>1</v>
      </c>
      <c r="B136" s="94" t="s">
        <v>316</v>
      </c>
      <c r="C136" s="122">
        <f>D136</f>
        <v>5262108.8719999995</v>
      </c>
      <c r="D136" s="122">
        <f>SUM(D137:D145)</f>
        <v>5262108.8719999995</v>
      </c>
      <c r="E136" s="122"/>
      <c r="F136" s="122">
        <f>F144</f>
        <v>115930</v>
      </c>
      <c r="G136" s="166">
        <f t="shared" si="13"/>
        <v>5146178.8719999995</v>
      </c>
      <c r="H136" s="122"/>
    </row>
    <row r="137" spans="1:8" ht="31" x14ac:dyDescent="0.35">
      <c r="A137" s="104" t="s">
        <v>37</v>
      </c>
      <c r="B137" s="98" t="s">
        <v>317</v>
      </c>
      <c r="C137" s="123">
        <f t="shared" ref="C137:C145" si="14">D137</f>
        <v>2730499.1999999997</v>
      </c>
      <c r="D137" s="123">
        <f>97.24*2340*12</f>
        <v>2730499.1999999997</v>
      </c>
      <c r="E137" s="122"/>
      <c r="F137" s="122"/>
      <c r="G137" s="166">
        <f t="shared" si="13"/>
        <v>2730499.1999999997</v>
      </c>
      <c r="H137" s="122"/>
    </row>
    <row r="138" spans="1:8" ht="31" x14ac:dyDescent="0.35">
      <c r="A138" s="104" t="s">
        <v>37</v>
      </c>
      <c r="B138" s="98" t="s">
        <v>318</v>
      </c>
      <c r="C138" s="123">
        <f t="shared" si="14"/>
        <v>408013.63199999987</v>
      </c>
      <c r="D138" s="123">
        <f xml:space="preserve"> 70.88*2340*20.5%*12</f>
        <v>408013.63199999987</v>
      </c>
      <c r="E138" s="122"/>
      <c r="F138" s="122"/>
      <c r="G138" s="166">
        <f t="shared" si="13"/>
        <v>408013.63199999987</v>
      </c>
      <c r="H138" s="122"/>
    </row>
    <row r="139" spans="1:8" ht="15.5" x14ac:dyDescent="0.35">
      <c r="A139" s="104" t="s">
        <v>37</v>
      </c>
      <c r="B139" s="100" t="s">
        <v>259</v>
      </c>
      <c r="C139" s="123">
        <f t="shared" si="14"/>
        <v>199031.03999999998</v>
      </c>
      <c r="D139" s="123">
        <f xml:space="preserve"> 70.88*2340*10%*12</f>
        <v>199031.03999999998</v>
      </c>
      <c r="E139" s="122"/>
      <c r="F139" s="122"/>
      <c r="G139" s="166">
        <f t="shared" si="13"/>
        <v>199031.03999999998</v>
      </c>
      <c r="H139" s="122"/>
    </row>
    <row r="140" spans="1:8" ht="15.5" x14ac:dyDescent="0.35">
      <c r="A140" s="104" t="s">
        <v>37</v>
      </c>
      <c r="B140" s="98" t="s">
        <v>461</v>
      </c>
      <c r="C140" s="123">
        <f t="shared" si="14"/>
        <v>210600</v>
      </c>
      <c r="D140" s="123">
        <f>0.3*2340*25*12</f>
        <v>210600</v>
      </c>
      <c r="E140" s="122"/>
      <c r="F140" s="122"/>
      <c r="G140" s="166">
        <f t="shared" si="13"/>
        <v>210600</v>
      </c>
      <c r="H140" s="122"/>
    </row>
    <row r="141" spans="1:8" ht="15.5" x14ac:dyDescent="0.35">
      <c r="A141" s="104" t="s">
        <v>37</v>
      </c>
      <c r="B141" s="100" t="s">
        <v>367</v>
      </c>
      <c r="C141" s="123">
        <f t="shared" si="14"/>
        <v>28080</v>
      </c>
      <c r="D141" s="123">
        <f>5*0.2*2340*12</f>
        <v>28080</v>
      </c>
      <c r="E141" s="122"/>
      <c r="F141" s="122"/>
      <c r="G141" s="166">
        <f t="shared" si="13"/>
        <v>28080</v>
      </c>
      <c r="H141" s="122"/>
    </row>
    <row r="142" spans="1:8" ht="15.5" x14ac:dyDescent="0.35">
      <c r="A142" s="104" t="s">
        <v>37</v>
      </c>
      <c r="B142" s="100" t="s">
        <v>368</v>
      </c>
      <c r="C142" s="123">
        <f t="shared" si="14"/>
        <v>28080</v>
      </c>
      <c r="D142" s="123">
        <f>5*0.2*2340*12</f>
        <v>28080</v>
      </c>
      <c r="E142" s="122"/>
      <c r="F142" s="122"/>
      <c r="G142" s="166">
        <f t="shared" si="13"/>
        <v>28080</v>
      </c>
      <c r="H142" s="122"/>
    </row>
    <row r="143" spans="1:8" ht="15.5" x14ac:dyDescent="0.35">
      <c r="A143" s="104" t="s">
        <v>37</v>
      </c>
      <c r="B143" s="101" t="s">
        <v>319</v>
      </c>
      <c r="C143" s="123">
        <f t="shared" si="14"/>
        <v>758160</v>
      </c>
      <c r="D143" s="123">
        <f>758160</f>
        <v>758160</v>
      </c>
      <c r="E143" s="122"/>
      <c r="F143" s="122"/>
      <c r="G143" s="166">
        <f t="shared" si="13"/>
        <v>758160</v>
      </c>
      <c r="H143" s="122"/>
    </row>
    <row r="144" spans="1:8" ht="15.5" x14ac:dyDescent="0.35">
      <c r="A144" s="104" t="s">
        <v>37</v>
      </c>
      <c r="B144" s="100" t="s">
        <v>258</v>
      </c>
      <c r="C144" s="123">
        <f t="shared" si="14"/>
        <v>649645</v>
      </c>
      <c r="D144" s="123">
        <f>521680-57965+115930+70000</f>
        <v>649645</v>
      </c>
      <c r="E144" s="122"/>
      <c r="F144" s="123">
        <v>115930</v>
      </c>
      <c r="G144" s="166">
        <f t="shared" si="13"/>
        <v>533715</v>
      </c>
      <c r="H144" s="122"/>
    </row>
    <row r="145" spans="1:8" ht="15.5" x14ac:dyDescent="0.35">
      <c r="A145" s="104" t="s">
        <v>37</v>
      </c>
      <c r="B145" s="98" t="s">
        <v>320</v>
      </c>
      <c r="C145" s="123">
        <f t="shared" si="14"/>
        <v>250000</v>
      </c>
      <c r="D145" s="123">
        <v>250000</v>
      </c>
      <c r="E145" s="122"/>
      <c r="F145" s="122"/>
      <c r="G145" s="166">
        <f t="shared" si="13"/>
        <v>250000</v>
      </c>
      <c r="H145" s="122"/>
    </row>
    <row r="146" spans="1:8" ht="15" x14ac:dyDescent="0.35">
      <c r="A146" s="103">
        <v>2</v>
      </c>
      <c r="B146" s="94" t="s">
        <v>321</v>
      </c>
      <c r="C146" s="122">
        <f>D146+E146</f>
        <v>4742200</v>
      </c>
      <c r="D146" s="122">
        <f>D147+D151</f>
        <v>2584400</v>
      </c>
      <c r="E146" s="122">
        <f>E147+E150+E151</f>
        <v>2157800</v>
      </c>
      <c r="F146" s="122">
        <f>F147+F150+F151</f>
        <v>776000</v>
      </c>
      <c r="G146" s="61">
        <f>C146-F146</f>
        <v>3966200</v>
      </c>
      <c r="H146" s="122"/>
    </row>
    <row r="147" spans="1:8" ht="15.5" x14ac:dyDescent="0.35">
      <c r="A147" s="104" t="s">
        <v>19</v>
      </c>
      <c r="B147" s="98" t="s">
        <v>322</v>
      </c>
      <c r="C147" s="123">
        <f t="shared" ref="C147:C160" si="15">D147+E147</f>
        <v>595000</v>
      </c>
      <c r="D147" s="123">
        <f>D148+D149</f>
        <v>464000</v>
      </c>
      <c r="E147" s="123">
        <f>SUM(E148:E149)</f>
        <v>131000</v>
      </c>
      <c r="F147" s="123">
        <f>F149</f>
        <v>38000</v>
      </c>
      <c r="G147" s="166">
        <f t="shared" si="13"/>
        <v>557000</v>
      </c>
      <c r="H147" s="122"/>
    </row>
    <row r="148" spans="1:8" ht="31" x14ac:dyDescent="0.35">
      <c r="A148" s="104" t="s">
        <v>323</v>
      </c>
      <c r="B148" s="98" t="s">
        <v>324</v>
      </c>
      <c r="C148" s="123">
        <f t="shared" si="15"/>
        <v>405000</v>
      </c>
      <c r="D148" s="123">
        <v>405000</v>
      </c>
      <c r="E148" s="123"/>
      <c r="F148" s="123"/>
      <c r="G148" s="166">
        <f t="shared" si="13"/>
        <v>405000</v>
      </c>
      <c r="H148" s="122"/>
    </row>
    <row r="149" spans="1:8" ht="15.5" x14ac:dyDescent="0.35">
      <c r="A149" s="104" t="s">
        <v>325</v>
      </c>
      <c r="B149" s="98" t="s">
        <v>326</v>
      </c>
      <c r="C149" s="123">
        <f t="shared" si="15"/>
        <v>190000</v>
      </c>
      <c r="D149" s="123">
        <v>59000</v>
      </c>
      <c r="E149" s="123">
        <v>131000</v>
      </c>
      <c r="F149" s="123">
        <f>C149*20%</f>
        <v>38000</v>
      </c>
      <c r="G149" s="166">
        <f t="shared" si="13"/>
        <v>152000</v>
      </c>
      <c r="H149" s="122"/>
    </row>
    <row r="150" spans="1:8" ht="15.5" x14ac:dyDescent="0.35">
      <c r="A150" s="104" t="s">
        <v>20</v>
      </c>
      <c r="B150" s="98" t="s">
        <v>327</v>
      </c>
      <c r="C150" s="123">
        <f t="shared" si="15"/>
        <v>170000</v>
      </c>
      <c r="D150" s="123">
        <v>0</v>
      </c>
      <c r="E150" s="123">
        <v>170000</v>
      </c>
      <c r="F150" s="123">
        <f t="shared" ref="F150:F160" si="16">C150*20%</f>
        <v>34000</v>
      </c>
      <c r="G150" s="166">
        <f t="shared" si="13"/>
        <v>136000</v>
      </c>
      <c r="H150" s="122"/>
    </row>
    <row r="151" spans="1:8" ht="15.5" x14ac:dyDescent="0.35">
      <c r="A151" s="104" t="s">
        <v>21</v>
      </c>
      <c r="B151" s="98" t="s">
        <v>328</v>
      </c>
      <c r="C151" s="123">
        <f t="shared" si="15"/>
        <v>3977200</v>
      </c>
      <c r="D151" s="123">
        <f>D152+D153+D154+D158+D160</f>
        <v>2120400</v>
      </c>
      <c r="E151" s="123">
        <f>SUM(E152:E160)</f>
        <v>1856800</v>
      </c>
      <c r="F151" s="123">
        <f>SUM(F152:F160)</f>
        <v>704000</v>
      </c>
      <c r="G151" s="166">
        <f t="shared" si="13"/>
        <v>3273200</v>
      </c>
      <c r="H151" s="122"/>
    </row>
    <row r="152" spans="1:8" ht="31" x14ac:dyDescent="0.35">
      <c r="A152" s="104" t="s">
        <v>325</v>
      </c>
      <c r="B152" s="98" t="s">
        <v>329</v>
      </c>
      <c r="C152" s="123">
        <f t="shared" si="15"/>
        <v>85000</v>
      </c>
      <c r="D152" s="123">
        <v>85000</v>
      </c>
      <c r="E152" s="123">
        <v>0</v>
      </c>
      <c r="F152" s="123"/>
      <c r="G152" s="166">
        <f t="shared" si="13"/>
        <v>85000</v>
      </c>
      <c r="H152" s="122"/>
    </row>
    <row r="153" spans="1:8" ht="31" x14ac:dyDescent="0.35">
      <c r="A153" s="104" t="s">
        <v>325</v>
      </c>
      <c r="B153" s="98" t="s">
        <v>330</v>
      </c>
      <c r="C153" s="123">
        <f t="shared" si="15"/>
        <v>77000</v>
      </c>
      <c r="D153" s="123">
        <v>77000</v>
      </c>
      <c r="E153" s="123">
        <v>0</v>
      </c>
      <c r="F153" s="123"/>
      <c r="G153" s="166">
        <f t="shared" si="13"/>
        <v>77000</v>
      </c>
      <c r="H153" s="122"/>
    </row>
    <row r="154" spans="1:8" ht="15.5" x14ac:dyDescent="0.35">
      <c r="A154" s="104" t="s">
        <v>325</v>
      </c>
      <c r="B154" s="98" t="s">
        <v>462</v>
      </c>
      <c r="C154" s="123">
        <f t="shared" si="15"/>
        <v>12000</v>
      </c>
      <c r="D154" s="123">
        <v>12000</v>
      </c>
      <c r="E154" s="123">
        <v>0</v>
      </c>
      <c r="F154" s="123"/>
      <c r="G154" s="166">
        <f t="shared" si="13"/>
        <v>12000</v>
      </c>
      <c r="H154" s="122"/>
    </row>
    <row r="155" spans="1:8" ht="15.5" x14ac:dyDescent="0.35">
      <c r="A155" s="104" t="s">
        <v>325</v>
      </c>
      <c r="B155" s="98" t="s">
        <v>331</v>
      </c>
      <c r="C155" s="123">
        <f t="shared" si="15"/>
        <v>51000</v>
      </c>
      <c r="D155" s="123"/>
      <c r="E155" s="123">
        <v>51000</v>
      </c>
      <c r="F155" s="123"/>
      <c r="G155" s="166">
        <f t="shared" si="13"/>
        <v>51000</v>
      </c>
      <c r="H155" s="122"/>
    </row>
    <row r="156" spans="1:8" ht="15.5" x14ac:dyDescent="0.35">
      <c r="A156" s="104" t="s">
        <v>325</v>
      </c>
      <c r="B156" s="98" t="s">
        <v>332</v>
      </c>
      <c r="C156" s="123">
        <f t="shared" si="15"/>
        <v>232200</v>
      </c>
      <c r="D156" s="123"/>
      <c r="E156" s="123">
        <v>232200</v>
      </c>
      <c r="F156" s="123"/>
      <c r="G156" s="166">
        <f t="shared" si="13"/>
        <v>232200</v>
      </c>
      <c r="H156" s="122"/>
    </row>
    <row r="157" spans="1:8" ht="15.5" x14ac:dyDescent="0.35">
      <c r="A157" s="104" t="s">
        <v>325</v>
      </c>
      <c r="B157" s="98" t="s">
        <v>333</v>
      </c>
      <c r="C157" s="123">
        <f t="shared" si="15"/>
        <v>240000</v>
      </c>
      <c r="D157" s="123"/>
      <c r="E157" s="123">
        <f>20000*12</f>
        <v>240000</v>
      </c>
      <c r="F157" s="123">
        <f t="shared" si="16"/>
        <v>48000</v>
      </c>
      <c r="G157" s="166">
        <f t="shared" si="13"/>
        <v>192000</v>
      </c>
      <c r="H157" s="122"/>
    </row>
    <row r="158" spans="1:8" ht="31" x14ac:dyDescent="0.35">
      <c r="A158" s="104" t="s">
        <v>325</v>
      </c>
      <c r="B158" s="98" t="s">
        <v>369</v>
      </c>
      <c r="C158" s="123">
        <f t="shared" si="15"/>
        <v>1630000</v>
      </c>
      <c r="D158" s="123">
        <v>1630000</v>
      </c>
      <c r="E158" s="123">
        <v>0</v>
      </c>
      <c r="F158" s="123">
        <f t="shared" si="16"/>
        <v>326000</v>
      </c>
      <c r="G158" s="166">
        <f t="shared" si="13"/>
        <v>1304000</v>
      </c>
      <c r="H158" s="122"/>
    </row>
    <row r="159" spans="1:8" ht="15.5" x14ac:dyDescent="0.35">
      <c r="A159" s="104" t="s">
        <v>325</v>
      </c>
      <c r="B159" s="106" t="s">
        <v>334</v>
      </c>
      <c r="C159" s="123">
        <f t="shared" si="15"/>
        <v>750000</v>
      </c>
      <c r="D159" s="122"/>
      <c r="E159" s="123">
        <v>750000</v>
      </c>
      <c r="F159" s="123">
        <f t="shared" si="16"/>
        <v>150000</v>
      </c>
      <c r="G159" s="166">
        <f t="shared" si="13"/>
        <v>600000</v>
      </c>
      <c r="H159" s="122"/>
    </row>
    <row r="160" spans="1:8" ht="15.5" x14ac:dyDescent="0.35">
      <c r="A160" s="104" t="s">
        <v>325</v>
      </c>
      <c r="B160" s="98" t="s">
        <v>335</v>
      </c>
      <c r="C160" s="123">
        <f t="shared" si="15"/>
        <v>900000</v>
      </c>
      <c r="D160" s="123">
        <v>316400</v>
      </c>
      <c r="E160" s="123">
        <f>900000-316400</f>
        <v>583600</v>
      </c>
      <c r="F160" s="123">
        <f t="shared" si="16"/>
        <v>180000</v>
      </c>
      <c r="G160" s="166">
        <f t="shared" si="13"/>
        <v>720000</v>
      </c>
      <c r="H160" s="122"/>
    </row>
    <row r="161" spans="1:8" ht="15" x14ac:dyDescent="0.35">
      <c r="A161" s="103" t="s">
        <v>203</v>
      </c>
      <c r="B161" s="93" t="s">
        <v>336</v>
      </c>
      <c r="C161" s="122">
        <f>D161+E161</f>
        <v>4072289.2480000001</v>
      </c>
      <c r="D161" s="122">
        <f>D162+D169</f>
        <v>3462289.2480000001</v>
      </c>
      <c r="E161" s="122">
        <f>E169</f>
        <v>610000</v>
      </c>
      <c r="F161" s="122">
        <f>F162+F169</f>
        <v>180090</v>
      </c>
      <c r="G161" s="61">
        <f t="shared" si="13"/>
        <v>3892199.2480000001</v>
      </c>
      <c r="H161" s="122"/>
    </row>
    <row r="162" spans="1:8" ht="15" x14ac:dyDescent="0.35">
      <c r="A162" s="103">
        <v>1</v>
      </c>
      <c r="B162" s="93" t="s">
        <v>337</v>
      </c>
      <c r="C162" s="122">
        <f t="shared" ref="C162:C174" si="17">D162+E162</f>
        <v>3345289.2480000001</v>
      </c>
      <c r="D162" s="122">
        <f>SUM(D163:D168)</f>
        <v>3345289.2480000001</v>
      </c>
      <c r="E162" s="122"/>
      <c r="F162" s="122">
        <f>F166</f>
        <v>53090</v>
      </c>
      <c r="G162" s="61">
        <f t="shared" si="13"/>
        <v>3292199.2480000001</v>
      </c>
      <c r="H162" s="122"/>
    </row>
    <row r="163" spans="1:8" ht="31" x14ac:dyDescent="0.35">
      <c r="A163" s="104" t="s">
        <v>37</v>
      </c>
      <c r="B163" s="98" t="s">
        <v>370</v>
      </c>
      <c r="C163" s="123">
        <f t="shared" si="17"/>
        <v>1250683.2</v>
      </c>
      <c r="D163" s="123">
        <f>44.54*2340*12</f>
        <v>1250683.2</v>
      </c>
      <c r="E163" s="122"/>
      <c r="F163" s="122"/>
      <c r="G163" s="166">
        <f t="shared" si="13"/>
        <v>1250683.2</v>
      </c>
      <c r="H163" s="122"/>
    </row>
    <row r="164" spans="1:8" ht="31" x14ac:dyDescent="0.35">
      <c r="A164" s="104" t="s">
        <v>37</v>
      </c>
      <c r="B164" s="98" t="s">
        <v>338</v>
      </c>
      <c r="C164" s="123">
        <f t="shared" si="17"/>
        <v>189500.68799999999</v>
      </c>
      <c r="D164" s="123">
        <f>32.92*2340*20.5%*12</f>
        <v>189500.68799999999</v>
      </c>
      <c r="E164" s="122"/>
      <c r="F164" s="122"/>
      <c r="G164" s="166">
        <f t="shared" si="13"/>
        <v>189500.68799999999</v>
      </c>
      <c r="H164" s="122"/>
    </row>
    <row r="165" spans="1:8" ht="31" x14ac:dyDescent="0.35">
      <c r="A165" s="104" t="s">
        <v>37</v>
      </c>
      <c r="B165" s="98" t="s">
        <v>371</v>
      </c>
      <c r="C165" s="123">
        <f t="shared" si="17"/>
        <v>92439.360000000015</v>
      </c>
      <c r="D165" s="123">
        <f>32.92*2340*10%*12</f>
        <v>92439.360000000015</v>
      </c>
      <c r="E165" s="122"/>
      <c r="F165" s="122"/>
      <c r="G165" s="166">
        <f t="shared" si="13"/>
        <v>92439.360000000015</v>
      </c>
      <c r="H165" s="122"/>
    </row>
    <row r="166" spans="1:8" ht="31" x14ac:dyDescent="0.35">
      <c r="A166" s="104" t="s">
        <v>37</v>
      </c>
      <c r="B166" s="98" t="s">
        <v>372</v>
      </c>
      <c r="C166" s="123">
        <f t="shared" si="17"/>
        <v>265458</v>
      </c>
      <c r="D166" s="123">
        <f>238913-26545+53090</f>
        <v>265458</v>
      </c>
      <c r="E166" s="122"/>
      <c r="F166" s="123">
        <v>53090</v>
      </c>
      <c r="G166" s="166">
        <f t="shared" si="13"/>
        <v>212368</v>
      </c>
      <c r="H166" s="122"/>
    </row>
    <row r="167" spans="1:8" ht="19.5" customHeight="1" x14ac:dyDescent="0.35">
      <c r="A167" s="104" t="s">
        <v>37</v>
      </c>
      <c r="B167" s="101" t="s">
        <v>339</v>
      </c>
      <c r="C167" s="123">
        <f t="shared" si="17"/>
        <v>438048</v>
      </c>
      <c r="D167" s="123">
        <v>438048</v>
      </c>
      <c r="E167" s="122"/>
      <c r="F167" s="122"/>
      <c r="G167" s="166">
        <f t="shared" si="13"/>
        <v>438048</v>
      </c>
      <c r="H167" s="122"/>
    </row>
    <row r="168" spans="1:8" ht="15.5" x14ac:dyDescent="0.35">
      <c r="A168" s="104" t="s">
        <v>37</v>
      </c>
      <c r="B168" s="101" t="s">
        <v>340</v>
      </c>
      <c r="C168" s="123">
        <f t="shared" si="17"/>
        <v>1109160</v>
      </c>
      <c r="D168" s="123">
        <v>1109160</v>
      </c>
      <c r="E168" s="122"/>
      <c r="F168" s="122"/>
      <c r="G168" s="166">
        <f t="shared" si="13"/>
        <v>1109160</v>
      </c>
      <c r="H168" s="122"/>
    </row>
    <row r="169" spans="1:8" ht="15" x14ac:dyDescent="0.35">
      <c r="A169" s="103">
        <v>2</v>
      </c>
      <c r="B169" s="96" t="s">
        <v>44</v>
      </c>
      <c r="C169" s="122">
        <f>D169+E169</f>
        <v>727000</v>
      </c>
      <c r="D169" s="122">
        <f>SUM(D170:D174)</f>
        <v>117000</v>
      </c>
      <c r="E169" s="122">
        <f>E172+E173</f>
        <v>610000</v>
      </c>
      <c r="F169" s="122">
        <f>SUM(F170:F177)</f>
        <v>127000</v>
      </c>
      <c r="G169" s="166">
        <f t="shared" si="13"/>
        <v>600000</v>
      </c>
      <c r="H169" s="122"/>
    </row>
    <row r="170" spans="1:8" ht="15.5" x14ac:dyDescent="0.35">
      <c r="A170" s="104" t="s">
        <v>37</v>
      </c>
      <c r="B170" s="105" t="s">
        <v>341</v>
      </c>
      <c r="C170" s="123">
        <f t="shared" si="17"/>
        <v>80000</v>
      </c>
      <c r="D170" s="123">
        <v>80000</v>
      </c>
      <c r="E170" s="122"/>
      <c r="F170" s="122">
        <f t="shared" ref="F170:F177" si="18">E170*20%</f>
        <v>0</v>
      </c>
      <c r="G170" s="166">
        <f t="shared" si="13"/>
        <v>80000</v>
      </c>
      <c r="H170" s="122"/>
    </row>
    <row r="171" spans="1:8" ht="50.25" customHeight="1" x14ac:dyDescent="0.35">
      <c r="A171" s="104" t="s">
        <v>37</v>
      </c>
      <c r="B171" s="105" t="s">
        <v>342</v>
      </c>
      <c r="C171" s="123">
        <f t="shared" si="17"/>
        <v>25000</v>
      </c>
      <c r="D171" s="123">
        <v>25000</v>
      </c>
      <c r="E171" s="122"/>
      <c r="F171" s="123">
        <f>D171*20%</f>
        <v>5000</v>
      </c>
      <c r="G171" s="166">
        <f t="shared" si="13"/>
        <v>20000</v>
      </c>
      <c r="H171" s="122"/>
    </row>
    <row r="172" spans="1:8" ht="46.5" x14ac:dyDescent="0.35">
      <c r="A172" s="104" t="s">
        <v>37</v>
      </c>
      <c r="B172" s="99" t="s">
        <v>373</v>
      </c>
      <c r="C172" s="123">
        <f t="shared" si="17"/>
        <v>520000</v>
      </c>
      <c r="D172" s="123">
        <v>0</v>
      </c>
      <c r="E172" s="123">
        <v>520000</v>
      </c>
      <c r="F172" s="123">
        <f t="shared" si="18"/>
        <v>104000</v>
      </c>
      <c r="G172" s="166">
        <f t="shared" si="13"/>
        <v>416000</v>
      </c>
      <c r="H172" s="122"/>
    </row>
    <row r="173" spans="1:8" ht="22" customHeight="1" x14ac:dyDescent="0.35">
      <c r="A173" s="104" t="s">
        <v>37</v>
      </c>
      <c r="B173" s="99" t="s">
        <v>343</v>
      </c>
      <c r="C173" s="123">
        <f t="shared" si="17"/>
        <v>90000</v>
      </c>
      <c r="D173" s="123">
        <v>0</v>
      </c>
      <c r="E173" s="123">
        <v>90000</v>
      </c>
      <c r="F173" s="123">
        <f t="shared" si="18"/>
        <v>18000</v>
      </c>
      <c r="G173" s="166">
        <f t="shared" si="13"/>
        <v>72000</v>
      </c>
      <c r="H173" s="122"/>
    </row>
    <row r="174" spans="1:8" ht="15.5" x14ac:dyDescent="0.35">
      <c r="A174" s="104" t="s">
        <v>37</v>
      </c>
      <c r="B174" s="98" t="s">
        <v>463</v>
      </c>
      <c r="C174" s="123">
        <f t="shared" si="17"/>
        <v>12000</v>
      </c>
      <c r="D174" s="123">
        <v>12000</v>
      </c>
      <c r="E174" s="122"/>
      <c r="F174" s="122">
        <f t="shared" si="18"/>
        <v>0</v>
      </c>
      <c r="G174" s="166">
        <f t="shared" si="13"/>
        <v>12000</v>
      </c>
      <c r="H174" s="122"/>
    </row>
    <row r="175" spans="1:8" ht="30" x14ac:dyDescent="0.35">
      <c r="A175" s="103" t="s">
        <v>205</v>
      </c>
      <c r="B175" s="93" t="s">
        <v>344</v>
      </c>
      <c r="C175" s="122">
        <f>D175+E175</f>
        <v>900000</v>
      </c>
      <c r="D175" s="122">
        <v>900000</v>
      </c>
      <c r="E175" s="122">
        <v>0</v>
      </c>
      <c r="F175" s="122">
        <f t="shared" si="18"/>
        <v>0</v>
      </c>
      <c r="G175" s="166">
        <f t="shared" si="13"/>
        <v>900000</v>
      </c>
      <c r="H175" s="122"/>
    </row>
    <row r="176" spans="1:8" ht="15" x14ac:dyDescent="0.35">
      <c r="A176" s="103" t="s">
        <v>206</v>
      </c>
      <c r="B176" s="93" t="s">
        <v>374</v>
      </c>
      <c r="C176" s="122">
        <f>D176+E176</f>
        <v>3060000</v>
      </c>
      <c r="D176" s="122">
        <v>3060000</v>
      </c>
      <c r="E176" s="122">
        <v>0</v>
      </c>
      <c r="F176" s="122">
        <f t="shared" si="18"/>
        <v>0</v>
      </c>
      <c r="G176" s="166">
        <f t="shared" si="13"/>
        <v>3060000</v>
      </c>
      <c r="H176" s="122"/>
    </row>
    <row r="177" spans="1:9" ht="15" x14ac:dyDescent="0.35">
      <c r="A177" s="103" t="s">
        <v>15</v>
      </c>
      <c r="B177" s="93" t="s">
        <v>345</v>
      </c>
      <c r="C177" s="122">
        <f>D177+E177</f>
        <v>2880000</v>
      </c>
      <c r="D177" s="122">
        <v>2880000</v>
      </c>
      <c r="E177" s="122">
        <v>0</v>
      </c>
      <c r="F177" s="122">
        <f t="shared" si="18"/>
        <v>0</v>
      </c>
      <c r="G177" s="166">
        <f t="shared" si="13"/>
        <v>2880000</v>
      </c>
      <c r="H177" s="122"/>
    </row>
    <row r="178" spans="1:9" ht="21" customHeight="1" x14ac:dyDescent="0.35">
      <c r="A178" s="1"/>
      <c r="B178" s="227" t="s">
        <v>396</v>
      </c>
      <c r="C178" s="227"/>
      <c r="D178" s="227"/>
      <c r="E178" s="227"/>
      <c r="F178" s="227"/>
      <c r="G178" s="227"/>
      <c r="H178" s="227"/>
      <c r="I178" s="9"/>
    </row>
  </sheetData>
  <mergeCells count="13">
    <mergeCell ref="B178:H178"/>
    <mergeCell ref="A1:H1"/>
    <mergeCell ref="A3:H3"/>
    <mergeCell ref="A5:A7"/>
    <mergeCell ref="B5:B7"/>
    <mergeCell ref="C5:C7"/>
    <mergeCell ref="D5:E6"/>
    <mergeCell ref="H5:H7"/>
    <mergeCell ref="A2:H2"/>
    <mergeCell ref="H35:H37"/>
    <mergeCell ref="H67:H69"/>
    <mergeCell ref="G5:G7"/>
    <mergeCell ref="F5:F7"/>
  </mergeCells>
  <pageMargins left="0.35" right="0.2" top="0.38" bottom="0.28000000000000003" header="0.3" footer="0.3"/>
  <pageSetup paperSize="9" scale="96" fitToHeight="0"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5"/>
  <sheetViews>
    <sheetView tabSelected="1" topLeftCell="A13" workbookViewId="0">
      <selection activeCell="B10" sqref="B10"/>
    </sheetView>
  </sheetViews>
  <sheetFormatPr defaultColWidth="9" defaultRowHeight="17.5" x14ac:dyDescent="0.35"/>
  <cols>
    <col min="1" max="1" width="4.54296875" style="170" customWidth="1"/>
    <col min="2" max="2" width="60" style="170" customWidth="1"/>
    <col min="3" max="3" width="67.453125" style="170" hidden="1" customWidth="1"/>
    <col min="4" max="4" width="14.26953125" style="170" hidden="1" customWidth="1"/>
    <col min="5" max="5" width="16.453125" style="170" hidden="1" customWidth="1"/>
    <col min="6" max="6" width="16.81640625" style="170" hidden="1" customWidth="1"/>
    <col min="7" max="7" width="0.1796875" style="170" customWidth="1"/>
    <col min="8" max="8" width="14.54296875" style="170" customWidth="1"/>
    <col min="9" max="9" width="24.453125" style="170" customWidth="1"/>
    <col min="10" max="10" width="9" style="170"/>
    <col min="11" max="19" width="0" style="170" hidden="1" customWidth="1"/>
    <col min="20" max="16384" width="9" style="170"/>
  </cols>
  <sheetData>
    <row r="1" spans="1:21" x14ac:dyDescent="0.35">
      <c r="B1" s="250" t="s">
        <v>459</v>
      </c>
      <c r="C1" s="250"/>
      <c r="D1" s="250"/>
      <c r="E1" s="250"/>
      <c r="F1" s="250"/>
      <c r="G1" s="250"/>
      <c r="H1" s="250"/>
      <c r="I1" s="250"/>
    </row>
    <row r="2" spans="1:21" x14ac:dyDescent="0.35">
      <c r="A2" s="251" t="s">
        <v>460</v>
      </c>
      <c r="B2" s="251"/>
      <c r="C2" s="251"/>
      <c r="D2" s="251"/>
      <c r="E2" s="251"/>
      <c r="F2" s="251"/>
      <c r="G2" s="251"/>
      <c r="H2" s="251"/>
      <c r="I2" s="251"/>
    </row>
    <row r="3" spans="1:21" ht="18" x14ac:dyDescent="0.35">
      <c r="A3" s="252" t="s">
        <v>467</v>
      </c>
      <c r="B3" s="252"/>
      <c r="C3" s="252"/>
      <c r="D3" s="252"/>
      <c r="E3" s="252"/>
      <c r="F3" s="252"/>
      <c r="G3" s="252"/>
      <c r="H3" s="252"/>
      <c r="I3" s="252"/>
    </row>
    <row r="4" spans="1:21" ht="18" x14ac:dyDescent="0.4">
      <c r="A4" s="171"/>
      <c r="B4" s="171"/>
      <c r="C4" s="253" t="s">
        <v>436</v>
      </c>
      <c r="D4" s="253"/>
      <c r="E4" s="253"/>
      <c r="F4" s="253"/>
      <c r="G4" s="253"/>
      <c r="H4" s="253"/>
      <c r="I4" s="253"/>
    </row>
    <row r="5" spans="1:21" s="172" customFormat="1" ht="15" x14ac:dyDescent="0.3">
      <c r="A5" s="248" t="s">
        <v>48</v>
      </c>
      <c r="B5" s="256" t="s">
        <v>437</v>
      </c>
      <c r="C5" s="248" t="s">
        <v>438</v>
      </c>
      <c r="D5" s="248" t="s">
        <v>439</v>
      </c>
      <c r="E5" s="248"/>
      <c r="F5" s="248"/>
      <c r="G5" s="248" t="s">
        <v>440</v>
      </c>
      <c r="H5" s="248" t="s">
        <v>208</v>
      </c>
      <c r="I5" s="248" t="s">
        <v>209</v>
      </c>
      <c r="K5" s="255" t="s">
        <v>441</v>
      </c>
      <c r="L5" s="255" t="s">
        <v>442</v>
      </c>
      <c r="M5" s="255"/>
      <c r="O5" s="255" t="s">
        <v>441</v>
      </c>
      <c r="P5" s="255" t="s">
        <v>443</v>
      </c>
      <c r="Q5" s="255" t="s">
        <v>443</v>
      </c>
    </row>
    <row r="6" spans="1:21" s="172" customFormat="1" ht="5.5" customHeight="1" x14ac:dyDescent="0.3">
      <c r="A6" s="248"/>
      <c r="B6" s="257"/>
      <c r="C6" s="248"/>
      <c r="D6" s="154"/>
      <c r="E6" s="248" t="s">
        <v>444</v>
      </c>
      <c r="F6" s="248"/>
      <c r="G6" s="248"/>
      <c r="H6" s="248"/>
      <c r="I6" s="248"/>
      <c r="K6" s="255"/>
      <c r="L6" s="255"/>
      <c r="M6" s="255"/>
      <c r="O6" s="255"/>
      <c r="P6" s="255"/>
      <c r="Q6" s="255"/>
    </row>
    <row r="7" spans="1:21" s="172" customFormat="1" ht="16.5" x14ac:dyDescent="0.3">
      <c r="A7" s="154"/>
      <c r="B7" s="158" t="s">
        <v>375</v>
      </c>
      <c r="C7" s="154"/>
      <c r="D7" s="154"/>
      <c r="E7" s="173">
        <f>E15+E8+E17+E20</f>
        <v>36250000000</v>
      </c>
      <c r="F7" s="173">
        <f>F15+F8+F17+F20</f>
        <v>37250000000</v>
      </c>
      <c r="G7" s="173">
        <f>G15+G8+G17+G20</f>
        <v>0</v>
      </c>
      <c r="H7" s="174">
        <f>H8+H15+H17+H20+H22</f>
        <v>80882.036999999997</v>
      </c>
      <c r="I7" s="175"/>
      <c r="U7" s="176">
        <f>H7-'[1]7. KHV'!E12</f>
        <v>22132.036999999997</v>
      </c>
    </row>
    <row r="8" spans="1:21" s="172" customFormat="1" ht="16.5" x14ac:dyDescent="0.35">
      <c r="A8" s="177" t="s">
        <v>1</v>
      </c>
      <c r="B8" s="155" t="s">
        <v>376</v>
      </c>
      <c r="C8" s="155"/>
      <c r="D8" s="155"/>
      <c r="E8" s="178">
        <f t="shared" ref="E8:H8" si="0">SUM(E9:E14)</f>
        <v>23000000000</v>
      </c>
      <c r="F8" s="178">
        <f t="shared" si="0"/>
        <v>23000000000</v>
      </c>
      <c r="G8" s="178">
        <f t="shared" si="0"/>
        <v>0</v>
      </c>
      <c r="H8" s="179">
        <f t="shared" si="0"/>
        <v>46086</v>
      </c>
      <c r="I8" s="180"/>
    </row>
    <row r="9" spans="1:21" s="185" customFormat="1" ht="30" customHeight="1" x14ac:dyDescent="0.3">
      <c r="A9" s="181">
        <v>1</v>
      </c>
      <c r="B9" s="156" t="s">
        <v>377</v>
      </c>
      <c r="C9" s="156" t="s">
        <v>445</v>
      </c>
      <c r="D9" s="156"/>
      <c r="E9" s="182">
        <v>3000000000</v>
      </c>
      <c r="F9" s="182">
        <v>3000000000</v>
      </c>
      <c r="G9" s="183">
        <v>0</v>
      </c>
      <c r="H9" s="184">
        <v>4600</v>
      </c>
      <c r="I9" s="181" t="s">
        <v>389</v>
      </c>
      <c r="K9" s="186">
        <f>425.99*9</f>
        <v>3833.91</v>
      </c>
      <c r="L9" s="185">
        <f>K9*1.2</f>
        <v>4600.692</v>
      </c>
      <c r="O9" s="185">
        <v>3000</v>
      </c>
      <c r="P9" s="185">
        <v>425.99</v>
      </c>
      <c r="Q9" s="185">
        <v>6.5</v>
      </c>
      <c r="R9" s="185">
        <f>O9/P9/Q9</f>
        <v>1.0834490517112174</v>
      </c>
    </row>
    <row r="10" spans="1:21" s="185" customFormat="1" ht="28" customHeight="1" x14ac:dyDescent="0.3">
      <c r="A10" s="181">
        <v>2</v>
      </c>
      <c r="B10" s="156" t="s">
        <v>378</v>
      </c>
      <c r="C10" s="156" t="s">
        <v>446</v>
      </c>
      <c r="D10" s="156"/>
      <c r="E10" s="182">
        <v>3000000000</v>
      </c>
      <c r="F10" s="182">
        <v>3000000000</v>
      </c>
      <c r="G10" s="183">
        <v>0</v>
      </c>
      <c r="H10" s="184">
        <v>1600</v>
      </c>
      <c r="I10" s="181" t="s">
        <v>389</v>
      </c>
      <c r="K10" s="186">
        <f>200*7</f>
        <v>1400</v>
      </c>
      <c r="L10" s="185">
        <f>K10*1.2</f>
        <v>1680</v>
      </c>
      <c r="O10" s="185">
        <v>3000</v>
      </c>
      <c r="P10" s="185">
        <v>425.99</v>
      </c>
      <c r="Q10" s="185">
        <v>6.5</v>
      </c>
      <c r="R10" s="185">
        <f>O10/P10/Q10</f>
        <v>1.0834490517112174</v>
      </c>
    </row>
    <row r="11" spans="1:21" s="185" customFormat="1" ht="35.15" customHeight="1" x14ac:dyDescent="0.3">
      <c r="A11" s="181">
        <v>3</v>
      </c>
      <c r="B11" s="156" t="s">
        <v>379</v>
      </c>
      <c r="C11" s="156" t="s">
        <v>447</v>
      </c>
      <c r="D11" s="156"/>
      <c r="E11" s="182">
        <v>3000000000</v>
      </c>
      <c r="F11" s="182">
        <v>3000000000</v>
      </c>
      <c r="G11" s="183">
        <v>0</v>
      </c>
      <c r="H11" s="184">
        <v>7000</v>
      </c>
      <c r="I11" s="181" t="s">
        <v>389</v>
      </c>
      <c r="K11" s="186">
        <f>600*9</f>
        <v>5400</v>
      </c>
      <c r="L11" s="185">
        <f>K11*1.2</f>
        <v>6480</v>
      </c>
      <c r="O11" s="185">
        <v>3000</v>
      </c>
      <c r="P11" s="185">
        <v>425.99</v>
      </c>
      <c r="Q11" s="185">
        <v>6.5</v>
      </c>
      <c r="R11" s="185">
        <f>O11/P11/Q11</f>
        <v>1.0834490517112174</v>
      </c>
    </row>
    <row r="12" spans="1:21" s="185" customFormat="1" ht="27" customHeight="1" x14ac:dyDescent="0.3">
      <c r="A12" s="181">
        <v>4</v>
      </c>
      <c r="B12" s="156" t="s">
        <v>380</v>
      </c>
      <c r="C12" s="156" t="s">
        <v>448</v>
      </c>
      <c r="D12" s="156"/>
      <c r="E12" s="182">
        <v>3000000000</v>
      </c>
      <c r="F12" s="182">
        <v>3000000000</v>
      </c>
      <c r="G12" s="183">
        <v>0</v>
      </c>
      <c r="H12" s="184">
        <v>4800</v>
      </c>
      <c r="I12" s="181" t="s">
        <v>389</v>
      </c>
      <c r="K12" s="186">
        <f>450*9</f>
        <v>4050</v>
      </c>
      <c r="L12" s="185">
        <f>K12*1.2</f>
        <v>4860</v>
      </c>
      <c r="O12" s="185">
        <v>3000</v>
      </c>
      <c r="P12" s="185">
        <v>425.99</v>
      </c>
      <c r="Q12" s="185">
        <v>6.5</v>
      </c>
      <c r="R12" s="185">
        <f>O12/P12/Q12</f>
        <v>1.0834490517112174</v>
      </c>
    </row>
    <row r="13" spans="1:21" s="185" customFormat="1" ht="23.15" customHeight="1" x14ac:dyDescent="0.3">
      <c r="A13" s="181">
        <v>5</v>
      </c>
      <c r="B13" s="156" t="s">
        <v>381</v>
      </c>
      <c r="C13" s="156" t="s">
        <v>449</v>
      </c>
      <c r="D13" s="156"/>
      <c r="E13" s="182"/>
      <c r="F13" s="182"/>
      <c r="G13" s="183"/>
      <c r="H13" s="184">
        <v>700</v>
      </c>
      <c r="I13" s="181" t="s">
        <v>389</v>
      </c>
      <c r="K13" s="187"/>
    </row>
    <row r="14" spans="1:21" s="185" customFormat="1" ht="77.5" x14ac:dyDescent="0.3">
      <c r="A14" s="181">
        <v>6</v>
      </c>
      <c r="B14" s="156" t="s">
        <v>382</v>
      </c>
      <c r="C14" s="156" t="s">
        <v>450</v>
      </c>
      <c r="D14" s="156"/>
      <c r="E14" s="182">
        <v>11000000000</v>
      </c>
      <c r="F14" s="182">
        <v>11000000000</v>
      </c>
      <c r="G14" s="183">
        <v>0</v>
      </c>
      <c r="H14" s="184">
        <f>22700+3800+170+716</f>
        <v>27386</v>
      </c>
      <c r="I14" s="181" t="s">
        <v>451</v>
      </c>
    </row>
    <row r="15" spans="1:21" s="172" customFormat="1" ht="16.5" x14ac:dyDescent="0.35">
      <c r="A15" s="177" t="s">
        <v>1</v>
      </c>
      <c r="B15" s="157" t="s">
        <v>383</v>
      </c>
      <c r="C15" s="155"/>
      <c r="D15" s="155"/>
      <c r="E15" s="188">
        <f t="shared" ref="E15:H15" si="1">SUM(E16:E16)</f>
        <v>7000000000</v>
      </c>
      <c r="F15" s="188">
        <f t="shared" si="1"/>
        <v>8000000000</v>
      </c>
      <c r="G15" s="188">
        <f t="shared" si="1"/>
        <v>0</v>
      </c>
      <c r="H15" s="179">
        <f t="shared" si="1"/>
        <v>8000</v>
      </c>
      <c r="I15" s="189"/>
    </row>
    <row r="16" spans="1:21" s="185" customFormat="1" ht="46.5" x14ac:dyDescent="0.3">
      <c r="A16" s="181">
        <v>1</v>
      </c>
      <c r="B16" s="156" t="s">
        <v>384</v>
      </c>
      <c r="C16" s="156" t="s">
        <v>452</v>
      </c>
      <c r="D16" s="156"/>
      <c r="E16" s="117">
        <v>7000000000</v>
      </c>
      <c r="F16" s="183">
        <v>8000000000</v>
      </c>
      <c r="G16" s="183">
        <v>0</v>
      </c>
      <c r="H16" s="190">
        <v>8000</v>
      </c>
      <c r="I16" s="181" t="s">
        <v>389</v>
      </c>
      <c r="K16" s="186" t="e">
        <f>I16+2</f>
        <v>#VALUE!</v>
      </c>
    </row>
    <row r="17" spans="1:9" s="172" customFormat="1" ht="16.5" x14ac:dyDescent="0.3">
      <c r="A17" s="154" t="s">
        <v>25</v>
      </c>
      <c r="B17" s="158" t="s">
        <v>385</v>
      </c>
      <c r="C17" s="158"/>
      <c r="D17" s="158"/>
      <c r="E17" s="191">
        <f>SUM(E18:E19)</f>
        <v>3250000000</v>
      </c>
      <c r="F17" s="191">
        <f>SUM(F18:F19)</f>
        <v>3250000000</v>
      </c>
      <c r="G17" s="191">
        <f>SUM(G18:G19)</f>
        <v>0</v>
      </c>
      <c r="H17" s="192">
        <f>SUM(H18:H19)</f>
        <v>2950</v>
      </c>
      <c r="I17" s="175"/>
    </row>
    <row r="18" spans="1:9" s="193" customFormat="1" ht="31" x14ac:dyDescent="0.3">
      <c r="A18" s="181">
        <v>2</v>
      </c>
      <c r="B18" s="156" t="s">
        <v>434</v>
      </c>
      <c r="C18" s="156" t="s">
        <v>453</v>
      </c>
      <c r="D18" s="156"/>
      <c r="E18" s="182">
        <v>1000000000</v>
      </c>
      <c r="F18" s="182">
        <v>1000000000</v>
      </c>
      <c r="G18" s="183">
        <v>0</v>
      </c>
      <c r="H18" s="190">
        <v>700</v>
      </c>
      <c r="I18" s="181" t="s">
        <v>389</v>
      </c>
    </row>
    <row r="19" spans="1:9" s="185" customFormat="1" ht="16.5" x14ac:dyDescent="0.3">
      <c r="A19" s="181">
        <v>3</v>
      </c>
      <c r="B19" s="156" t="s">
        <v>387</v>
      </c>
      <c r="C19" s="156" t="s">
        <v>454</v>
      </c>
      <c r="D19" s="156"/>
      <c r="E19" s="182">
        <v>2250000000</v>
      </c>
      <c r="F19" s="182">
        <v>2250000000</v>
      </c>
      <c r="G19" s="183">
        <v>0</v>
      </c>
      <c r="H19" s="190">
        <v>2250</v>
      </c>
      <c r="I19" s="181" t="s">
        <v>389</v>
      </c>
    </row>
    <row r="20" spans="1:9" s="172" customFormat="1" ht="16.5" x14ac:dyDescent="0.3">
      <c r="A20" s="154" t="s">
        <v>26</v>
      </c>
      <c r="B20" s="158" t="s">
        <v>388</v>
      </c>
      <c r="C20" s="158"/>
      <c r="D20" s="158"/>
      <c r="E20" s="191">
        <f t="shared" ref="E20:H20" si="2">SUM(E21:E21)</f>
        <v>3000000000</v>
      </c>
      <c r="F20" s="191">
        <f t="shared" si="2"/>
        <v>3000000000</v>
      </c>
      <c r="G20" s="191">
        <f t="shared" si="2"/>
        <v>0</v>
      </c>
      <c r="H20" s="192">
        <f t="shared" si="2"/>
        <v>2600</v>
      </c>
      <c r="I20" s="175"/>
    </row>
    <row r="21" spans="1:9" s="185" customFormat="1" ht="31" x14ac:dyDescent="0.3">
      <c r="A21" s="181">
        <v>1</v>
      </c>
      <c r="B21" s="156" t="s">
        <v>464</v>
      </c>
      <c r="C21" s="156" t="s">
        <v>455</v>
      </c>
      <c r="D21" s="156"/>
      <c r="E21" s="182">
        <v>3000000000</v>
      </c>
      <c r="F21" s="182">
        <v>3000000000</v>
      </c>
      <c r="G21" s="183">
        <v>0</v>
      </c>
      <c r="H21" s="190">
        <v>2600</v>
      </c>
      <c r="I21" s="181" t="s">
        <v>451</v>
      </c>
    </row>
    <row r="22" spans="1:9" s="172" customFormat="1" ht="30" x14ac:dyDescent="0.3">
      <c r="A22" s="154" t="s">
        <v>31</v>
      </c>
      <c r="B22" s="158" t="s">
        <v>456</v>
      </c>
      <c r="C22" s="158"/>
      <c r="D22" s="158"/>
      <c r="E22" s="191">
        <f>SUM(E23:E28)</f>
        <v>3250000000</v>
      </c>
      <c r="F22" s="191">
        <f>SUM(F23:F28)</f>
        <v>3250000000</v>
      </c>
      <c r="G22" s="191">
        <f>SUM(G23:G28)</f>
        <v>0</v>
      </c>
      <c r="H22" s="192">
        <f>SUM(H23:H28)</f>
        <v>21246.037</v>
      </c>
      <c r="I22" s="175"/>
    </row>
    <row r="23" spans="1:9" s="193" customFormat="1" ht="31" x14ac:dyDescent="0.3">
      <c r="A23" s="181">
        <v>1</v>
      </c>
      <c r="B23" s="156" t="s">
        <v>435</v>
      </c>
      <c r="C23" s="156" t="s">
        <v>453</v>
      </c>
      <c r="D23" s="156"/>
      <c r="E23" s="182">
        <v>1000000000</v>
      </c>
      <c r="F23" s="182">
        <v>1000000000</v>
      </c>
      <c r="G23" s="183">
        <v>0</v>
      </c>
      <c r="H23" s="190">
        <v>5000</v>
      </c>
      <c r="I23" s="181" t="s">
        <v>389</v>
      </c>
    </row>
    <row r="24" spans="1:9" s="193" customFormat="1" ht="21" customHeight="1" x14ac:dyDescent="0.3">
      <c r="A24" s="181">
        <v>2</v>
      </c>
      <c r="B24" s="156" t="s">
        <v>457</v>
      </c>
      <c r="C24" s="156"/>
      <c r="D24" s="156"/>
      <c r="E24" s="182"/>
      <c r="F24" s="182"/>
      <c r="G24" s="183"/>
      <c r="H24" s="190">
        <v>5000</v>
      </c>
      <c r="I24" s="181" t="s">
        <v>389</v>
      </c>
    </row>
    <row r="25" spans="1:9" s="193" customFormat="1" ht="25" customHeight="1" x14ac:dyDescent="0.3">
      <c r="A25" s="181">
        <v>3</v>
      </c>
      <c r="B25" s="156" t="s">
        <v>458</v>
      </c>
      <c r="C25" s="156"/>
      <c r="D25" s="156"/>
      <c r="E25" s="182"/>
      <c r="F25" s="182"/>
      <c r="G25" s="183"/>
      <c r="H25" s="190">
        <v>2000</v>
      </c>
      <c r="I25" s="181" t="s">
        <v>389</v>
      </c>
    </row>
    <row r="26" spans="1:9" s="193" customFormat="1" ht="31" x14ac:dyDescent="0.3">
      <c r="A26" s="181">
        <v>4</v>
      </c>
      <c r="B26" s="156" t="s">
        <v>392</v>
      </c>
      <c r="C26" s="156"/>
      <c r="D26" s="156"/>
      <c r="E26" s="182"/>
      <c r="F26" s="182"/>
      <c r="G26" s="183"/>
      <c r="H26" s="190">
        <v>2000</v>
      </c>
      <c r="I26" s="181" t="s">
        <v>389</v>
      </c>
    </row>
    <row r="27" spans="1:9" s="193" customFormat="1" ht="22.5" customHeight="1" x14ac:dyDescent="0.3">
      <c r="A27" s="181">
        <v>5</v>
      </c>
      <c r="B27" s="156" t="s">
        <v>394</v>
      </c>
      <c r="C27" s="156"/>
      <c r="D27" s="156"/>
      <c r="E27" s="182"/>
      <c r="F27" s="182"/>
      <c r="G27" s="183"/>
      <c r="H27" s="190">
        <f>4991-716</f>
        <v>4275</v>
      </c>
      <c r="I27" s="181" t="s">
        <v>389</v>
      </c>
    </row>
    <row r="28" spans="1:9" s="185" customFormat="1" ht="21.65" customHeight="1" x14ac:dyDescent="0.3">
      <c r="A28" s="181">
        <v>6</v>
      </c>
      <c r="B28" s="156" t="s">
        <v>393</v>
      </c>
      <c r="C28" s="156" t="s">
        <v>454</v>
      </c>
      <c r="D28" s="156"/>
      <c r="E28" s="182">
        <v>2250000000</v>
      </c>
      <c r="F28" s="182">
        <v>2250000000</v>
      </c>
      <c r="G28" s="183">
        <v>0</v>
      </c>
      <c r="H28" s="190">
        <f>'[1]7. KHV'!E17-170</f>
        <v>2971.0369999999998</v>
      </c>
      <c r="I28" s="181" t="s">
        <v>389</v>
      </c>
    </row>
    <row r="29" spans="1:9" s="185" customFormat="1" ht="16.5" x14ac:dyDescent="0.3">
      <c r="A29" s="200"/>
      <c r="B29" s="201"/>
      <c r="C29" s="201"/>
      <c r="D29" s="201"/>
      <c r="E29" s="202"/>
      <c r="F29" s="202"/>
      <c r="G29" s="203"/>
      <c r="H29" s="204"/>
      <c r="I29" s="200"/>
    </row>
    <row r="30" spans="1:9" s="185" customFormat="1" ht="16.5" customHeight="1" x14ac:dyDescent="0.3">
      <c r="B30" s="249" t="s">
        <v>396</v>
      </c>
      <c r="C30" s="249"/>
      <c r="D30" s="249"/>
      <c r="E30" s="249"/>
      <c r="F30" s="249"/>
      <c r="G30" s="249"/>
      <c r="H30" s="249"/>
      <c r="I30" s="249"/>
    </row>
    <row r="31" spans="1:9" s="185" customFormat="1" x14ac:dyDescent="0.35">
      <c r="B31" s="254"/>
      <c r="C31" s="254"/>
      <c r="D31" s="254"/>
      <c r="E31" s="254"/>
      <c r="F31" s="254"/>
      <c r="G31" s="254"/>
      <c r="H31" s="254"/>
      <c r="I31" s="254"/>
    </row>
    <row r="32" spans="1:9" s="185" customFormat="1" ht="15" x14ac:dyDescent="0.3">
      <c r="B32" s="194"/>
    </row>
    <row r="33" spans="2:2" s="185" customFormat="1" ht="15" x14ac:dyDescent="0.3">
      <c r="B33" s="194"/>
    </row>
    <row r="34" spans="2:2" s="185" customFormat="1" ht="15" x14ac:dyDescent="0.3">
      <c r="B34" s="194"/>
    </row>
    <row r="35" spans="2:2" s="185" customFormat="1" ht="15" x14ac:dyDescent="0.3">
      <c r="B35" s="194"/>
    </row>
  </sheetData>
  <mergeCells count="20">
    <mergeCell ref="L5:L6"/>
    <mergeCell ref="M5:M6"/>
    <mergeCell ref="O5:O6"/>
    <mergeCell ref="P5:P6"/>
    <mergeCell ref="Q5:Q6"/>
    <mergeCell ref="E6:F6"/>
    <mergeCell ref="B31:I31"/>
    <mergeCell ref="B1:I1"/>
    <mergeCell ref="B30:I30"/>
    <mergeCell ref="K5:K6"/>
    <mergeCell ref="A2:I2"/>
    <mergeCell ref="A3:I3"/>
    <mergeCell ref="C4:I4"/>
    <mergeCell ref="A5:A6"/>
    <mergeCell ref="B5:B6"/>
    <mergeCell ref="C5:C6"/>
    <mergeCell ref="D5:F5"/>
    <mergeCell ref="G5:G6"/>
    <mergeCell ref="H5:H6"/>
    <mergeCell ref="I5:I6"/>
  </mergeCells>
  <pageMargins left="0.34" right="0.15" top="0.75" bottom="0.26" header="0.3" footer="0.3"/>
  <pageSetup scale="97" fitToHeight="0"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workbookViewId="0">
      <selection activeCell="E5" sqref="E5:I5"/>
    </sheetView>
  </sheetViews>
  <sheetFormatPr defaultRowHeight="14.5" x14ac:dyDescent="0.35"/>
  <cols>
    <col min="1" max="1" width="5.7265625" customWidth="1"/>
    <col min="2" max="2" width="35" customWidth="1"/>
    <col min="3" max="3" width="6.453125" customWidth="1"/>
    <col min="4" max="4" width="4.81640625" customWidth="1"/>
    <col min="5" max="5" width="10.7265625" customWidth="1"/>
    <col min="6" max="6" width="10.453125" customWidth="1"/>
    <col min="8" max="8" width="10" customWidth="1"/>
    <col min="11" max="12" width="9.7265625" customWidth="1"/>
    <col min="14" max="14" width="9.1796875" customWidth="1"/>
  </cols>
  <sheetData>
    <row r="1" spans="1:14" x14ac:dyDescent="0.35">
      <c r="A1" s="62"/>
      <c r="B1" s="62"/>
      <c r="C1" s="63"/>
      <c r="D1" s="63"/>
      <c r="E1" s="63"/>
      <c r="F1" s="63"/>
      <c r="G1" s="64" t="s">
        <v>433</v>
      </c>
      <c r="H1" s="63"/>
      <c r="I1" s="63"/>
      <c r="J1" s="62"/>
      <c r="K1" s="62"/>
      <c r="L1" s="62"/>
      <c r="M1" s="62"/>
      <c r="N1" s="63"/>
    </row>
    <row r="2" spans="1:14" x14ac:dyDescent="0.35">
      <c r="A2" s="62"/>
      <c r="B2" s="62"/>
      <c r="C2" s="63"/>
      <c r="D2" s="63"/>
      <c r="E2" s="63"/>
      <c r="F2" s="63"/>
      <c r="G2" s="64" t="s">
        <v>213</v>
      </c>
      <c r="H2" s="63"/>
      <c r="I2" s="63"/>
      <c r="J2" s="62"/>
      <c r="K2" s="62"/>
      <c r="L2" s="62"/>
      <c r="M2" s="62"/>
      <c r="N2" s="63"/>
    </row>
    <row r="3" spans="1:14" s="131" customFormat="1" ht="20.25" customHeight="1" x14ac:dyDescent="0.35">
      <c r="A3" s="258" t="s">
        <v>467</v>
      </c>
      <c r="B3" s="258"/>
      <c r="C3" s="258"/>
      <c r="D3" s="258"/>
      <c r="E3" s="258"/>
      <c r="F3" s="258"/>
      <c r="G3" s="258"/>
      <c r="H3" s="258"/>
      <c r="I3" s="258"/>
      <c r="J3" s="258"/>
      <c r="K3" s="258"/>
      <c r="L3" s="258"/>
      <c r="M3" s="258"/>
      <c r="N3" s="258"/>
    </row>
    <row r="4" spans="1:14" ht="14.25" customHeight="1" x14ac:dyDescent="0.35">
      <c r="A4" s="65"/>
      <c r="B4" s="62"/>
      <c r="C4" s="62"/>
      <c r="D4" s="62"/>
      <c r="E4" s="63"/>
      <c r="F4" s="63"/>
      <c r="G4" s="63"/>
      <c r="H4" s="63"/>
      <c r="I4" s="63"/>
      <c r="J4" s="63"/>
      <c r="K4" s="63"/>
      <c r="L4" s="63"/>
      <c r="M4" s="260" t="s">
        <v>207</v>
      </c>
      <c r="N4" s="260"/>
    </row>
    <row r="5" spans="1:14" ht="36.65" customHeight="1" x14ac:dyDescent="0.35">
      <c r="A5" s="261" t="s">
        <v>48</v>
      </c>
      <c r="B5" s="261" t="s">
        <v>214</v>
      </c>
      <c r="C5" s="262" t="s">
        <v>215</v>
      </c>
      <c r="D5" s="262"/>
      <c r="E5" s="263" t="s">
        <v>216</v>
      </c>
      <c r="F5" s="263"/>
      <c r="G5" s="263"/>
      <c r="H5" s="263"/>
      <c r="I5" s="263"/>
      <c r="J5" s="263" t="s">
        <v>399</v>
      </c>
      <c r="K5" s="264"/>
      <c r="L5" s="264"/>
      <c r="M5" s="264"/>
      <c r="N5" s="263" t="s">
        <v>217</v>
      </c>
    </row>
    <row r="6" spans="1:14" ht="120.75" customHeight="1" x14ac:dyDescent="0.35">
      <c r="A6" s="261"/>
      <c r="B6" s="261"/>
      <c r="C6" s="66" t="s">
        <v>218</v>
      </c>
      <c r="D6" s="66" t="s">
        <v>219</v>
      </c>
      <c r="E6" s="67" t="s">
        <v>220</v>
      </c>
      <c r="F6" s="67" t="s">
        <v>221</v>
      </c>
      <c r="G6" s="67" t="s">
        <v>222</v>
      </c>
      <c r="H6" s="67" t="s">
        <v>397</v>
      </c>
      <c r="I6" s="67" t="s">
        <v>398</v>
      </c>
      <c r="J6" s="67" t="s">
        <v>220</v>
      </c>
      <c r="K6" s="67" t="s">
        <v>223</v>
      </c>
      <c r="L6" s="67" t="s">
        <v>419</v>
      </c>
      <c r="M6" s="67" t="s">
        <v>400</v>
      </c>
      <c r="N6" s="263"/>
    </row>
    <row r="7" spans="1:14" x14ac:dyDescent="0.35">
      <c r="A7" s="68">
        <v>1</v>
      </c>
      <c r="B7" s="68">
        <v>2</v>
      </c>
      <c r="C7" s="68">
        <v>3</v>
      </c>
      <c r="D7" s="68">
        <v>4</v>
      </c>
      <c r="E7" s="69" t="s">
        <v>224</v>
      </c>
      <c r="F7" s="69">
        <v>6</v>
      </c>
      <c r="G7" s="69">
        <v>7</v>
      </c>
      <c r="H7" s="69">
        <v>8</v>
      </c>
      <c r="I7" s="69">
        <v>9</v>
      </c>
      <c r="J7" s="69" t="s">
        <v>225</v>
      </c>
      <c r="K7" s="69">
        <v>11</v>
      </c>
      <c r="L7" s="69">
        <v>12</v>
      </c>
      <c r="M7" s="69">
        <v>13</v>
      </c>
      <c r="N7" s="69" t="s">
        <v>420</v>
      </c>
    </row>
    <row r="8" spans="1:14" x14ac:dyDescent="0.35">
      <c r="A8" s="70" t="s">
        <v>1</v>
      </c>
      <c r="B8" s="71" t="s">
        <v>226</v>
      </c>
      <c r="C8" s="72">
        <f>D8</f>
        <v>76</v>
      </c>
      <c r="D8" s="72">
        <f>D9+D10</f>
        <v>76</v>
      </c>
      <c r="E8" s="73">
        <f>E9+E10</f>
        <v>14070377</v>
      </c>
      <c r="F8" s="73">
        <f>SUM(F9:F10)</f>
        <v>11893153</v>
      </c>
      <c r="G8" s="73"/>
      <c r="H8" s="73">
        <f>SUM(H9:H10)</f>
        <v>1503108</v>
      </c>
      <c r="I8" s="73">
        <f>SUM(I9:I10)</f>
        <v>674116</v>
      </c>
      <c r="J8" s="73">
        <f>SUM(J9:J10)</f>
        <v>526434</v>
      </c>
      <c r="K8" s="73">
        <f>SUM(K9:K10)</f>
        <v>375774</v>
      </c>
      <c r="L8" s="73">
        <f>SUM(L9:L10)</f>
        <v>150660</v>
      </c>
      <c r="M8" s="73"/>
      <c r="N8" s="73">
        <f>N9+N10</f>
        <v>14596811</v>
      </c>
    </row>
    <row r="9" spans="1:14" x14ac:dyDescent="0.35">
      <c r="A9" s="74">
        <v>1</v>
      </c>
      <c r="B9" s="75" t="s">
        <v>229</v>
      </c>
      <c r="C9" s="75">
        <v>28</v>
      </c>
      <c r="D9" s="75">
        <v>28</v>
      </c>
      <c r="E9" s="76">
        <f>F9+G9+H9+I9</f>
        <v>5346434</v>
      </c>
      <c r="F9" s="76">
        <f>4532334-45000</f>
        <v>4487334</v>
      </c>
      <c r="G9" s="77"/>
      <c r="H9" s="77">
        <v>605566</v>
      </c>
      <c r="I9" s="77">
        <v>253534</v>
      </c>
      <c r="J9" s="77">
        <f>K9+M9+L9</f>
        <v>196390</v>
      </c>
      <c r="K9" s="77">
        <v>151390</v>
      </c>
      <c r="L9" s="77">
        <v>45000</v>
      </c>
      <c r="M9" s="77"/>
      <c r="N9" s="77">
        <f>E9+J9</f>
        <v>5542824</v>
      </c>
    </row>
    <row r="10" spans="1:14" x14ac:dyDescent="0.35">
      <c r="A10" s="74">
        <v>2</v>
      </c>
      <c r="B10" s="75" t="s">
        <v>230</v>
      </c>
      <c r="C10" s="75">
        <v>48</v>
      </c>
      <c r="D10" s="75">
        <v>48</v>
      </c>
      <c r="E10" s="76">
        <f t="shared" ref="E10:E16" si="0">F10+G10+H10+I10</f>
        <v>8723943</v>
      </c>
      <c r="F10" s="76">
        <f>7511479-105660</f>
        <v>7405819</v>
      </c>
      <c r="G10" s="77"/>
      <c r="H10" s="77">
        <v>897542</v>
      </c>
      <c r="I10" s="77">
        <v>420582</v>
      </c>
      <c r="J10" s="77">
        <f>K10+M10+L10</f>
        <v>330044</v>
      </c>
      <c r="K10" s="77">
        <v>224384</v>
      </c>
      <c r="L10" s="77">
        <v>105660</v>
      </c>
      <c r="M10" s="77"/>
      <c r="N10" s="77">
        <f>E10+J10</f>
        <v>9053987</v>
      </c>
    </row>
    <row r="11" spans="1:14" x14ac:dyDescent="0.35">
      <c r="A11" s="70" t="s">
        <v>2</v>
      </c>
      <c r="B11" s="71" t="s">
        <v>227</v>
      </c>
      <c r="C11" s="71">
        <f>C12+C13+C14</f>
        <v>125</v>
      </c>
      <c r="D11" s="71">
        <f>D12+D13+D14</f>
        <v>124</v>
      </c>
      <c r="E11" s="78">
        <f>SUM(E12:E14)</f>
        <v>24183575</v>
      </c>
      <c r="F11" s="78">
        <f>SUM(F12:F14)</f>
        <v>20404492</v>
      </c>
      <c r="G11" s="78"/>
      <c r="H11" s="78">
        <f>SUM(H12:H14)</f>
        <v>2651222</v>
      </c>
      <c r="I11" s="78">
        <f>SUM(I12:I14)</f>
        <v>1127861</v>
      </c>
      <c r="J11" s="78">
        <f>SUM(J12:J14)</f>
        <v>609530</v>
      </c>
      <c r="K11" s="78">
        <f>SUM(K12:K14)</f>
        <v>609530</v>
      </c>
      <c r="L11" s="78"/>
      <c r="M11" s="78"/>
      <c r="N11" s="73">
        <f>SUM(N12:N14)</f>
        <v>24793105</v>
      </c>
    </row>
    <row r="12" spans="1:14" x14ac:dyDescent="0.35">
      <c r="A12" s="74">
        <v>1</v>
      </c>
      <c r="B12" s="75" t="s">
        <v>231</v>
      </c>
      <c r="C12" s="75">
        <v>38</v>
      </c>
      <c r="D12" s="75">
        <v>38</v>
      </c>
      <c r="E12" s="76">
        <f>F12+G12+H12+I12</f>
        <v>7215613</v>
      </c>
      <c r="F12" s="76">
        <v>6137282</v>
      </c>
      <c r="G12" s="77"/>
      <c r="H12" s="77">
        <v>733340</v>
      </c>
      <c r="I12" s="77">
        <v>344991</v>
      </c>
      <c r="J12" s="77">
        <f>K12</f>
        <v>183334</v>
      </c>
      <c r="K12" s="77">
        <v>183334</v>
      </c>
      <c r="L12" s="77"/>
      <c r="M12" s="77"/>
      <c r="N12" s="77">
        <f>E12+J12</f>
        <v>7398947</v>
      </c>
    </row>
    <row r="13" spans="1:14" x14ac:dyDescent="0.35">
      <c r="A13" s="74">
        <v>2</v>
      </c>
      <c r="B13" s="75" t="s">
        <v>232</v>
      </c>
      <c r="C13" s="75">
        <v>45</v>
      </c>
      <c r="D13" s="75">
        <v>43</v>
      </c>
      <c r="E13" s="76">
        <f t="shared" si="0"/>
        <v>6807648</v>
      </c>
      <c r="F13" s="76">
        <v>5713090</v>
      </c>
      <c r="G13" s="77"/>
      <c r="H13" s="77">
        <v>767988</v>
      </c>
      <c r="I13" s="77">
        <v>326570</v>
      </c>
      <c r="J13" s="77">
        <f>K13</f>
        <v>170664</v>
      </c>
      <c r="K13" s="77">
        <v>170664</v>
      </c>
      <c r="L13" s="77"/>
      <c r="M13" s="77"/>
      <c r="N13" s="77">
        <f>E13+J13</f>
        <v>6978312</v>
      </c>
    </row>
    <row r="14" spans="1:14" x14ac:dyDescent="0.35">
      <c r="A14" s="74">
        <v>3</v>
      </c>
      <c r="B14" s="75" t="s">
        <v>233</v>
      </c>
      <c r="C14" s="75">
        <v>42</v>
      </c>
      <c r="D14" s="75">
        <v>43</v>
      </c>
      <c r="E14" s="76">
        <f>F14+G14+H14+I14</f>
        <v>10160314</v>
      </c>
      <c r="F14" s="76">
        <v>8554120</v>
      </c>
      <c r="G14" s="77"/>
      <c r="H14" s="77">
        <v>1149894</v>
      </c>
      <c r="I14" s="77">
        <v>456300</v>
      </c>
      <c r="J14" s="77">
        <f>K14</f>
        <v>255532</v>
      </c>
      <c r="K14" s="77">
        <v>255532</v>
      </c>
      <c r="L14" s="77"/>
      <c r="M14" s="77"/>
      <c r="N14" s="77">
        <f>E14+J14</f>
        <v>10415846</v>
      </c>
    </row>
    <row r="15" spans="1:14" x14ac:dyDescent="0.35">
      <c r="A15" s="70" t="s">
        <v>25</v>
      </c>
      <c r="B15" s="71" t="s">
        <v>228</v>
      </c>
      <c r="C15" s="71">
        <f>C16+C17</f>
        <v>90</v>
      </c>
      <c r="D15" s="71">
        <f>D16+D17</f>
        <v>85</v>
      </c>
      <c r="E15" s="76">
        <f>SUM(E16:E17)</f>
        <v>18960763</v>
      </c>
      <c r="F15" s="78">
        <f>SUM(F16:F17)</f>
        <v>16066897</v>
      </c>
      <c r="G15" s="78"/>
      <c r="H15" s="78">
        <f>SUM(H16:H17)</f>
        <v>1964558</v>
      </c>
      <c r="I15" s="78">
        <f>SUM(I16:I17)</f>
        <v>929308</v>
      </c>
      <c r="J15" s="78">
        <f>SUM(J16:J17)</f>
        <v>865522</v>
      </c>
      <c r="K15" s="78">
        <f>SUM(K16:K17)</f>
        <v>491138</v>
      </c>
      <c r="L15" s="78">
        <f>SUM(L16:L17)</f>
        <v>374384</v>
      </c>
      <c r="M15" s="78"/>
      <c r="N15" s="73">
        <f>SUM(N16:N17)</f>
        <v>19826285</v>
      </c>
    </row>
    <row r="16" spans="1:14" x14ac:dyDescent="0.35">
      <c r="A16" s="74">
        <v>1</v>
      </c>
      <c r="B16" s="75" t="s">
        <v>173</v>
      </c>
      <c r="C16" s="75">
        <v>42</v>
      </c>
      <c r="D16" s="75">
        <v>37</v>
      </c>
      <c r="E16" s="76">
        <f t="shared" si="0"/>
        <v>8041608</v>
      </c>
      <c r="F16" s="76">
        <f>6976169-168644</f>
        <v>6807525</v>
      </c>
      <c r="G16" s="77"/>
      <c r="H16" s="77">
        <v>833578</v>
      </c>
      <c r="I16" s="77">
        <v>400505</v>
      </c>
      <c r="J16" s="77">
        <f>K16+L16</f>
        <v>377038</v>
      </c>
      <c r="K16" s="77">
        <v>208394</v>
      </c>
      <c r="L16" s="77">
        <v>168644</v>
      </c>
      <c r="M16" s="77"/>
      <c r="N16" s="77">
        <f>E16+J16</f>
        <v>8418646</v>
      </c>
    </row>
    <row r="17" spans="1:14" x14ac:dyDescent="0.35">
      <c r="A17" s="74">
        <v>2</v>
      </c>
      <c r="B17" s="75" t="s">
        <v>174</v>
      </c>
      <c r="C17" s="75">
        <v>48</v>
      </c>
      <c r="D17" s="75">
        <v>48</v>
      </c>
      <c r="E17" s="76">
        <f>F17+G17+H17+I17</f>
        <v>10919155</v>
      </c>
      <c r="F17" s="76">
        <f>9465112-205740</f>
        <v>9259372</v>
      </c>
      <c r="G17" s="77"/>
      <c r="H17" s="77">
        <v>1130980</v>
      </c>
      <c r="I17" s="77">
        <v>528803</v>
      </c>
      <c r="J17" s="77">
        <f>K17+L17</f>
        <v>488484</v>
      </c>
      <c r="K17" s="77">
        <v>282744</v>
      </c>
      <c r="L17" s="77">
        <v>205740</v>
      </c>
      <c r="M17" s="77"/>
      <c r="N17" s="77">
        <f>E17+J17</f>
        <v>11407639</v>
      </c>
    </row>
    <row r="18" spans="1:14" ht="23.25" customHeight="1" x14ac:dyDescent="0.35">
      <c r="A18" s="70" t="s">
        <v>26</v>
      </c>
      <c r="B18" s="71" t="s">
        <v>401</v>
      </c>
      <c r="C18" s="71">
        <v>0</v>
      </c>
      <c r="D18" s="71">
        <v>0</v>
      </c>
      <c r="E18" s="76">
        <v>0</v>
      </c>
      <c r="F18" s="78">
        <v>0</v>
      </c>
      <c r="G18" s="78">
        <v>0</v>
      </c>
      <c r="H18" s="78">
        <v>0</v>
      </c>
      <c r="I18" s="78"/>
      <c r="J18" s="78">
        <f>M18</f>
        <v>20000000</v>
      </c>
      <c r="K18" s="78"/>
      <c r="L18" s="78"/>
      <c r="M18" s="78">
        <v>20000000</v>
      </c>
      <c r="N18" s="73">
        <f>M18</f>
        <v>20000000</v>
      </c>
    </row>
    <row r="19" spans="1:14" ht="95.5" customHeight="1" x14ac:dyDescent="0.35">
      <c r="A19" s="70" t="s">
        <v>31</v>
      </c>
      <c r="B19" s="71" t="s">
        <v>263</v>
      </c>
      <c r="C19" s="71">
        <v>0</v>
      </c>
      <c r="D19" s="71">
        <v>0</v>
      </c>
      <c r="E19" s="78">
        <f>G19</f>
        <v>1602799</v>
      </c>
      <c r="F19" s="78"/>
      <c r="G19" s="78">
        <v>1602799</v>
      </c>
      <c r="H19" s="78">
        <v>0</v>
      </c>
      <c r="I19" s="78">
        <v>0</v>
      </c>
      <c r="J19" s="78">
        <f>M19</f>
        <v>3961000</v>
      </c>
      <c r="K19" s="78">
        <v>0</v>
      </c>
      <c r="L19" s="78"/>
      <c r="M19" s="78">
        <v>3961000</v>
      </c>
      <c r="N19" s="73">
        <f>E19+J19</f>
        <v>5563799</v>
      </c>
    </row>
    <row r="20" spans="1:14" ht="17.149999999999999" customHeight="1" x14ac:dyDescent="0.35">
      <c r="A20" s="79"/>
      <c r="B20" s="80" t="s">
        <v>402</v>
      </c>
      <c r="C20" s="72">
        <f>C8+C11+C15</f>
        <v>291</v>
      </c>
      <c r="D20" s="72">
        <f>D8+D11+D15</f>
        <v>285</v>
      </c>
      <c r="E20" s="76">
        <f>F20+G20+H20+I20</f>
        <v>58817514</v>
      </c>
      <c r="F20" s="72">
        <f>F8+F11+F15</f>
        <v>48364542</v>
      </c>
      <c r="G20" s="72">
        <f>G19</f>
        <v>1602799</v>
      </c>
      <c r="H20" s="72">
        <f>H8+H11+H15</f>
        <v>6118888</v>
      </c>
      <c r="I20" s="72">
        <f>I8+I11+I15</f>
        <v>2731285</v>
      </c>
      <c r="J20" s="72">
        <f>J8+J11+J15+J18+J19</f>
        <v>25962486</v>
      </c>
      <c r="K20" s="72">
        <f>K8+K11+K15</f>
        <v>1476442</v>
      </c>
      <c r="L20" s="72">
        <f>L8+L15</f>
        <v>525044</v>
      </c>
      <c r="M20" s="72">
        <f>M18+M19</f>
        <v>23961000</v>
      </c>
      <c r="N20" s="73">
        <f>N8+N11+N15+N18+N19</f>
        <v>84780000</v>
      </c>
    </row>
    <row r="21" spans="1:14" ht="19.5" customHeight="1" x14ac:dyDescent="0.35">
      <c r="A21" s="81"/>
      <c r="B21" s="82"/>
      <c r="C21" s="82"/>
      <c r="D21" s="82"/>
      <c r="E21" s="83"/>
      <c r="F21" s="83"/>
      <c r="G21" s="83"/>
      <c r="H21" s="83"/>
      <c r="I21" s="259" t="s">
        <v>403</v>
      </c>
      <c r="J21" s="259"/>
      <c r="K21" s="259"/>
      <c r="L21" s="259"/>
      <c r="M21" s="259"/>
      <c r="N21" s="259"/>
    </row>
    <row r="22" spans="1:14" x14ac:dyDescent="0.35">
      <c r="A22" s="81"/>
      <c r="B22" s="82"/>
      <c r="C22" s="82"/>
      <c r="D22" s="82"/>
      <c r="E22" s="83"/>
      <c r="F22" s="83"/>
      <c r="G22" s="83"/>
      <c r="H22" s="83"/>
      <c r="I22" s="83"/>
      <c r="J22" s="83"/>
      <c r="K22" s="83"/>
      <c r="L22" s="83"/>
      <c r="M22" s="84"/>
      <c r="N22" s="84"/>
    </row>
    <row r="23" spans="1:14" x14ac:dyDescent="0.35">
      <c r="A23" s="81"/>
      <c r="B23" s="82"/>
      <c r="C23" s="82"/>
      <c r="D23" s="82"/>
      <c r="E23" s="83"/>
      <c r="F23" s="83"/>
      <c r="G23" s="83"/>
      <c r="H23" s="83"/>
      <c r="I23" s="83"/>
      <c r="J23" s="83"/>
      <c r="K23" s="83"/>
      <c r="L23" s="83"/>
      <c r="M23" s="84"/>
      <c r="N23" s="84"/>
    </row>
    <row r="24" spans="1:14" x14ac:dyDescent="0.35">
      <c r="A24" s="81"/>
      <c r="B24" s="82"/>
      <c r="C24" s="82"/>
      <c r="D24" s="82"/>
      <c r="E24" s="83"/>
      <c r="F24" s="83"/>
      <c r="G24" s="83"/>
      <c r="H24" s="83"/>
      <c r="I24" s="83"/>
      <c r="J24" s="83"/>
      <c r="K24" s="83"/>
      <c r="L24" s="83"/>
      <c r="M24" s="84"/>
      <c r="N24" s="84"/>
    </row>
    <row r="25" spans="1:14" x14ac:dyDescent="0.35">
      <c r="A25" s="81"/>
      <c r="B25" s="82"/>
      <c r="C25" s="82"/>
      <c r="D25" s="82"/>
      <c r="E25" s="83"/>
      <c r="F25" s="83"/>
      <c r="G25" s="83"/>
      <c r="H25" s="83"/>
      <c r="I25" s="83"/>
      <c r="J25" s="83"/>
      <c r="K25" s="83"/>
      <c r="L25" s="83"/>
      <c r="M25" s="84"/>
      <c r="N25" s="84"/>
    </row>
  </sheetData>
  <mergeCells count="9">
    <mergeCell ref="A3:N3"/>
    <mergeCell ref="I21:N21"/>
    <mergeCell ref="M4:N4"/>
    <mergeCell ref="A5:A6"/>
    <mergeCell ref="B5:B6"/>
    <mergeCell ref="C5:D5"/>
    <mergeCell ref="E5:I5"/>
    <mergeCell ref="J5:M5"/>
    <mergeCell ref="N5:N6"/>
  </mergeCells>
  <pageMargins left="0.24" right="0.16" top="0.41" bottom="0.33" header="0.3" footer="0.3"/>
  <pageSetup paperSize="9" scale="96" fitToHeight="0"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C5" sqref="C5:C6"/>
    </sheetView>
  </sheetViews>
  <sheetFormatPr defaultRowHeight="14.5" x14ac:dyDescent="0.35"/>
  <cols>
    <col min="1" max="1" width="4.7265625" customWidth="1"/>
    <col min="2" max="2" width="36.453125" customWidth="1"/>
    <col min="3" max="4" width="12.54296875" customWidth="1"/>
    <col min="5" max="5" width="12.7265625" customWidth="1"/>
    <col min="6" max="6" width="12.453125" customWidth="1"/>
    <col min="7" max="7" width="8" customWidth="1"/>
    <col min="9" max="9" width="11.1796875" bestFit="1" customWidth="1"/>
  </cols>
  <sheetData>
    <row r="1" spans="1:8" x14ac:dyDescent="0.35">
      <c r="A1" s="1"/>
      <c r="B1" s="1"/>
      <c r="C1" s="1"/>
      <c r="D1" s="1"/>
      <c r="E1" s="265" t="s">
        <v>47</v>
      </c>
      <c r="F1" s="265"/>
      <c r="G1" s="265"/>
    </row>
    <row r="2" spans="1:8" ht="19.5" customHeight="1" x14ac:dyDescent="0.35">
      <c r="A2" s="269" t="s">
        <v>410</v>
      </c>
      <c r="B2" s="269"/>
      <c r="C2" s="269"/>
      <c r="D2" s="269"/>
      <c r="E2" s="269"/>
      <c r="F2" s="269"/>
      <c r="G2" s="269"/>
    </row>
    <row r="3" spans="1:8" x14ac:dyDescent="0.35">
      <c r="A3" s="270" t="s">
        <v>467</v>
      </c>
      <c r="B3" s="270"/>
      <c r="C3" s="270"/>
      <c r="D3" s="270"/>
      <c r="E3" s="270"/>
      <c r="F3" s="270"/>
      <c r="G3" s="270"/>
    </row>
    <row r="4" spans="1:8" x14ac:dyDescent="0.35">
      <c r="A4" s="1"/>
      <c r="B4" s="1"/>
      <c r="C4" s="1"/>
      <c r="D4" s="273" t="s">
        <v>133</v>
      </c>
      <c r="E4" s="273"/>
      <c r="F4" s="273"/>
      <c r="G4" s="273"/>
      <c r="H4" s="1"/>
    </row>
    <row r="5" spans="1:8" ht="17.25" customHeight="1" x14ac:dyDescent="0.35">
      <c r="A5" s="266" t="s">
        <v>48</v>
      </c>
      <c r="B5" s="266" t="s">
        <v>3</v>
      </c>
      <c r="C5" s="266" t="s">
        <v>404</v>
      </c>
      <c r="D5" s="266" t="s">
        <v>69</v>
      </c>
      <c r="E5" s="266" t="s">
        <v>405</v>
      </c>
      <c r="F5" s="271" t="s">
        <v>465</v>
      </c>
      <c r="G5" s="272"/>
    </row>
    <row r="6" spans="1:8" ht="30.75" customHeight="1" x14ac:dyDescent="0.35">
      <c r="A6" s="267"/>
      <c r="B6" s="267"/>
      <c r="C6" s="267"/>
      <c r="D6" s="267"/>
      <c r="E6" s="267"/>
      <c r="F6" s="27" t="s">
        <v>70</v>
      </c>
      <c r="G6" s="27" t="s">
        <v>71</v>
      </c>
    </row>
    <row r="7" spans="1:8" x14ac:dyDescent="0.35">
      <c r="A7" s="5" t="s">
        <v>4</v>
      </c>
      <c r="B7" s="5" t="s">
        <v>14</v>
      </c>
      <c r="C7" s="5">
        <v>1</v>
      </c>
      <c r="D7" s="5">
        <v>2</v>
      </c>
      <c r="E7" s="5">
        <v>3</v>
      </c>
      <c r="F7" s="5">
        <v>4</v>
      </c>
      <c r="G7" s="5">
        <v>5</v>
      </c>
    </row>
    <row r="8" spans="1:8" x14ac:dyDescent="0.35">
      <c r="A8" s="6" t="s">
        <v>4</v>
      </c>
      <c r="B8" s="7" t="s">
        <v>50</v>
      </c>
      <c r="C8" s="16">
        <f>C9+C12+C16+C17</f>
        <v>140420380</v>
      </c>
      <c r="D8" s="16">
        <f>D9+D12+D16+D17</f>
        <v>156819836</v>
      </c>
      <c r="E8" s="16">
        <f>E9+E12+E16</f>
        <v>251617250</v>
      </c>
      <c r="F8" s="16">
        <f>E8-D8</f>
        <v>94797414</v>
      </c>
      <c r="G8" s="17">
        <f>E8/D8%</f>
        <v>160.44988721962443</v>
      </c>
    </row>
    <row r="9" spans="1:8" x14ac:dyDescent="0.35">
      <c r="A9" s="6" t="s">
        <v>1</v>
      </c>
      <c r="B9" s="7" t="s">
        <v>51</v>
      </c>
      <c r="C9" s="16">
        <f>C10+C11</f>
        <v>20089620</v>
      </c>
      <c r="D9" s="16">
        <f>D10+D11</f>
        <v>26701981</v>
      </c>
      <c r="E9" s="16">
        <f>E10+E11</f>
        <v>118527250</v>
      </c>
      <c r="F9" s="16">
        <f t="shared" ref="F9:F32" si="0">E9-D9</f>
        <v>91825269</v>
      </c>
      <c r="G9" s="17">
        <f t="shared" ref="G9:G27" si="1">E9/D9%</f>
        <v>443.88935038190613</v>
      </c>
    </row>
    <row r="10" spans="1:8" x14ac:dyDescent="0.35">
      <c r="A10" s="5" t="s">
        <v>38</v>
      </c>
      <c r="B10" s="2" t="s">
        <v>52</v>
      </c>
      <c r="C10" s="15">
        <v>540000</v>
      </c>
      <c r="D10" s="15">
        <v>505633</v>
      </c>
      <c r="E10" s="15">
        <v>1400000</v>
      </c>
      <c r="F10" s="15">
        <f t="shared" si="0"/>
        <v>894367</v>
      </c>
      <c r="G10" s="18">
        <f t="shared" si="1"/>
        <v>276.88066245676214</v>
      </c>
    </row>
    <row r="11" spans="1:8" x14ac:dyDescent="0.35">
      <c r="A11" s="5" t="s">
        <v>38</v>
      </c>
      <c r="B11" s="2" t="s">
        <v>53</v>
      </c>
      <c r="C11" s="15">
        <v>19549620</v>
      </c>
      <c r="D11" s="15">
        <v>26196348</v>
      </c>
      <c r="E11" s="15">
        <v>117127250</v>
      </c>
      <c r="F11" s="15">
        <f t="shared" si="0"/>
        <v>90930902</v>
      </c>
      <c r="G11" s="18">
        <f t="shared" si="1"/>
        <v>447.11289527837999</v>
      </c>
    </row>
    <row r="12" spans="1:8" x14ac:dyDescent="0.35">
      <c r="A12" s="6" t="s">
        <v>2</v>
      </c>
      <c r="B12" s="7" t="s">
        <v>54</v>
      </c>
      <c r="C12" s="16">
        <f>C13+C14</f>
        <v>118037401</v>
      </c>
      <c r="D12" s="16">
        <f>D13+D14</f>
        <v>127824496</v>
      </c>
      <c r="E12" s="16">
        <f>E13+E14</f>
        <v>121890000</v>
      </c>
      <c r="F12" s="16">
        <f t="shared" si="0"/>
        <v>-5934496</v>
      </c>
      <c r="G12" s="17">
        <f t="shared" si="1"/>
        <v>95.35730929070121</v>
      </c>
    </row>
    <row r="13" spans="1:8" x14ac:dyDescent="0.35">
      <c r="A13" s="5">
        <v>1</v>
      </c>
      <c r="B13" s="2" t="s">
        <v>55</v>
      </c>
      <c r="C13" s="15">
        <v>90158755</v>
      </c>
      <c r="D13" s="15">
        <f>C13</f>
        <v>90158755</v>
      </c>
      <c r="E13" s="15">
        <v>98084000</v>
      </c>
      <c r="F13" s="15">
        <f t="shared" si="0"/>
        <v>7925245</v>
      </c>
      <c r="G13" s="18">
        <f t="shared" si="1"/>
        <v>108.79032213787778</v>
      </c>
    </row>
    <row r="14" spans="1:8" x14ac:dyDescent="0.35">
      <c r="A14" s="5">
        <v>2</v>
      </c>
      <c r="B14" s="2" t="s">
        <v>56</v>
      </c>
      <c r="C14" s="15">
        <v>27878646</v>
      </c>
      <c r="D14" s="15">
        <v>37665741</v>
      </c>
      <c r="E14" s="15">
        <v>23806000</v>
      </c>
      <c r="F14" s="15">
        <f t="shared" si="0"/>
        <v>-13859741</v>
      </c>
      <c r="G14" s="18">
        <f t="shared" si="1"/>
        <v>63.203323147153803</v>
      </c>
    </row>
    <row r="15" spans="1:8" x14ac:dyDescent="0.35">
      <c r="A15" s="6" t="s">
        <v>25</v>
      </c>
      <c r="B15" s="7" t="s">
        <v>57</v>
      </c>
      <c r="C15" s="7">
        <v>0</v>
      </c>
      <c r="D15" s="7">
        <v>0</v>
      </c>
      <c r="E15" s="15">
        <v>0</v>
      </c>
      <c r="F15" s="15">
        <f t="shared" si="0"/>
        <v>0</v>
      </c>
      <c r="G15" s="17"/>
    </row>
    <row r="16" spans="1:8" x14ac:dyDescent="0.35">
      <c r="A16" s="6" t="s">
        <v>26</v>
      </c>
      <c r="B16" s="7" t="s">
        <v>5</v>
      </c>
      <c r="C16" s="16">
        <v>851609</v>
      </c>
      <c r="D16" s="16">
        <f>C16</f>
        <v>851609</v>
      </c>
      <c r="E16" s="16">
        <v>11200000</v>
      </c>
      <c r="F16" s="16">
        <f t="shared" si="0"/>
        <v>10348391</v>
      </c>
      <c r="G16" s="17"/>
    </row>
    <row r="17" spans="1:9" ht="28.5" x14ac:dyDescent="0.35">
      <c r="A17" s="6" t="s">
        <v>31</v>
      </c>
      <c r="B17" s="8" t="s">
        <v>165</v>
      </c>
      <c r="C17" s="16">
        <v>1441750</v>
      </c>
      <c r="D17" s="16">
        <f>C17</f>
        <v>1441750</v>
      </c>
      <c r="E17" s="16">
        <v>0</v>
      </c>
      <c r="F17" s="16">
        <v>0</v>
      </c>
      <c r="G17" s="17">
        <f t="shared" si="1"/>
        <v>0</v>
      </c>
    </row>
    <row r="18" spans="1:9" x14ac:dyDescent="0.35">
      <c r="A18" s="6" t="s">
        <v>27</v>
      </c>
      <c r="B18" s="7" t="s">
        <v>58</v>
      </c>
      <c r="C18" s="7"/>
      <c r="D18" s="7"/>
      <c r="E18" s="7"/>
      <c r="F18" s="15">
        <f t="shared" si="0"/>
        <v>0</v>
      </c>
      <c r="G18" s="17"/>
    </row>
    <row r="19" spans="1:9" x14ac:dyDescent="0.35">
      <c r="A19" s="6" t="s">
        <v>14</v>
      </c>
      <c r="B19" s="7" t="s">
        <v>59</v>
      </c>
      <c r="C19" s="7"/>
      <c r="D19" s="16"/>
      <c r="E19" s="16"/>
      <c r="F19" s="15">
        <f t="shared" si="0"/>
        <v>0</v>
      </c>
      <c r="G19" s="17"/>
    </row>
    <row r="20" spans="1:9" x14ac:dyDescent="0.35">
      <c r="A20" s="6" t="s">
        <v>1</v>
      </c>
      <c r="B20" s="7" t="s">
        <v>60</v>
      </c>
      <c r="C20" s="16">
        <f>C21+C22+C26+C25+C27</f>
        <v>140420380</v>
      </c>
      <c r="D20" s="16">
        <f>D21+D22+D26+D25+D27</f>
        <v>150593726</v>
      </c>
      <c r="E20" s="16">
        <f>E21+E22+E26+E25</f>
        <v>251617250</v>
      </c>
      <c r="F20" s="16">
        <f t="shared" si="0"/>
        <v>101023524</v>
      </c>
      <c r="G20" s="17">
        <f t="shared" si="1"/>
        <v>167.08348792698044</v>
      </c>
    </row>
    <row r="21" spans="1:9" x14ac:dyDescent="0.35">
      <c r="A21" s="5">
        <v>1</v>
      </c>
      <c r="B21" s="2" t="s">
        <v>61</v>
      </c>
      <c r="C21" s="15">
        <v>36846792</v>
      </c>
      <c r="D21" s="15">
        <v>39164792</v>
      </c>
      <c r="E21" s="15">
        <v>83244250</v>
      </c>
      <c r="F21" s="15">
        <f t="shared" si="0"/>
        <v>44079458</v>
      </c>
      <c r="G21" s="18">
        <f t="shared" si="1"/>
        <v>212.54868403233189</v>
      </c>
    </row>
    <row r="22" spans="1:9" x14ac:dyDescent="0.35">
      <c r="A22" s="5">
        <v>2</v>
      </c>
      <c r="B22" s="2" t="s">
        <v>35</v>
      </c>
      <c r="C22" s="15">
        <v>100346391</v>
      </c>
      <c r="D22" s="15">
        <v>109697591</v>
      </c>
      <c r="E22" s="15">
        <v>162433000</v>
      </c>
      <c r="F22" s="15">
        <f t="shared" si="0"/>
        <v>52735409</v>
      </c>
      <c r="G22" s="18">
        <f t="shared" si="1"/>
        <v>148.07344310778896</v>
      </c>
    </row>
    <row r="23" spans="1:9" ht="28.5" x14ac:dyDescent="0.35">
      <c r="A23" s="5">
        <v>3</v>
      </c>
      <c r="B23" s="3" t="s">
        <v>157</v>
      </c>
      <c r="C23" s="2">
        <v>0</v>
      </c>
      <c r="D23" s="2">
        <v>0</v>
      </c>
      <c r="E23" s="15"/>
      <c r="F23" s="15">
        <f t="shared" si="0"/>
        <v>0</v>
      </c>
      <c r="G23" s="17"/>
    </row>
    <row r="24" spans="1:9" x14ac:dyDescent="0.35">
      <c r="A24" s="5">
        <v>4</v>
      </c>
      <c r="B24" s="2" t="s">
        <v>62</v>
      </c>
      <c r="C24" s="2">
        <v>0</v>
      </c>
      <c r="D24" s="2">
        <v>0</v>
      </c>
      <c r="E24" s="15"/>
      <c r="F24" s="15">
        <f t="shared" si="0"/>
        <v>0</v>
      </c>
      <c r="G24" s="17"/>
    </row>
    <row r="25" spans="1:9" x14ac:dyDescent="0.35">
      <c r="A25" s="5">
        <v>5</v>
      </c>
      <c r="B25" s="2" t="s">
        <v>13</v>
      </c>
      <c r="C25" s="15">
        <v>332234</v>
      </c>
      <c r="D25" s="15">
        <f>C25</f>
        <v>332234</v>
      </c>
      <c r="E25" s="15">
        <v>3060000</v>
      </c>
      <c r="F25" s="15">
        <f t="shared" si="0"/>
        <v>2727766</v>
      </c>
      <c r="G25" s="18">
        <f t="shared" si="1"/>
        <v>921.0375819452554</v>
      </c>
      <c r="I25" s="19"/>
    </row>
    <row r="26" spans="1:9" x14ac:dyDescent="0.35">
      <c r="A26" s="5">
        <v>6</v>
      </c>
      <c r="B26" s="2" t="s">
        <v>63</v>
      </c>
      <c r="C26" s="15">
        <v>390896</v>
      </c>
      <c r="D26" s="15">
        <f>C26</f>
        <v>390896</v>
      </c>
      <c r="E26" s="15">
        <v>2880000</v>
      </c>
      <c r="F26" s="15">
        <f t="shared" si="0"/>
        <v>2489104</v>
      </c>
      <c r="G26" s="18">
        <f t="shared" si="1"/>
        <v>736.76885923621626</v>
      </c>
    </row>
    <row r="27" spans="1:9" x14ac:dyDescent="0.35">
      <c r="A27" s="5">
        <v>7</v>
      </c>
      <c r="B27" s="2" t="s">
        <v>164</v>
      </c>
      <c r="C27" s="15">
        <v>2504067</v>
      </c>
      <c r="D27" s="15">
        <v>1008213</v>
      </c>
      <c r="E27" s="15"/>
      <c r="F27" s="15">
        <v>0</v>
      </c>
      <c r="G27" s="18">
        <f t="shared" si="1"/>
        <v>0</v>
      </c>
    </row>
    <row r="28" spans="1:9" x14ac:dyDescent="0.35">
      <c r="A28" s="6" t="s">
        <v>2</v>
      </c>
      <c r="B28" s="7" t="s">
        <v>64</v>
      </c>
      <c r="C28" s="7"/>
      <c r="D28" s="7"/>
      <c r="E28" s="7"/>
      <c r="F28" s="15">
        <f t="shared" si="0"/>
        <v>0</v>
      </c>
      <c r="G28" s="17"/>
    </row>
    <row r="29" spans="1:9" x14ac:dyDescent="0.35">
      <c r="A29" s="5">
        <v>1</v>
      </c>
      <c r="B29" s="2" t="s">
        <v>65</v>
      </c>
      <c r="C29" s="2"/>
      <c r="D29" s="2"/>
      <c r="E29" s="2"/>
      <c r="F29" s="15">
        <f t="shared" si="0"/>
        <v>0</v>
      </c>
      <c r="G29" s="17"/>
    </row>
    <row r="30" spans="1:9" x14ac:dyDescent="0.35">
      <c r="A30" s="5">
        <v>2</v>
      </c>
      <c r="B30" s="2" t="s">
        <v>66</v>
      </c>
      <c r="C30" s="2"/>
      <c r="D30" s="2"/>
      <c r="E30" s="2"/>
      <c r="F30" s="15">
        <f t="shared" si="0"/>
        <v>0</v>
      </c>
      <c r="G30" s="17"/>
    </row>
    <row r="31" spans="1:9" ht="28.5" x14ac:dyDescent="0.35">
      <c r="A31" s="6" t="s">
        <v>25</v>
      </c>
      <c r="B31" s="8" t="s">
        <v>67</v>
      </c>
      <c r="C31" s="7"/>
      <c r="D31" s="7"/>
      <c r="E31" s="7"/>
      <c r="F31" s="15">
        <f t="shared" si="0"/>
        <v>0</v>
      </c>
      <c r="G31" s="17"/>
    </row>
    <row r="32" spans="1:9" x14ac:dyDescent="0.35">
      <c r="A32" s="6" t="s">
        <v>26</v>
      </c>
      <c r="B32" s="7" t="s">
        <v>68</v>
      </c>
      <c r="C32" s="7"/>
      <c r="D32" s="7"/>
      <c r="E32" s="7"/>
      <c r="F32" s="15">
        <f t="shared" si="0"/>
        <v>0</v>
      </c>
      <c r="G32" s="17"/>
    </row>
    <row r="33" spans="1:7" ht="18.75" customHeight="1" x14ac:dyDescent="0.35">
      <c r="A33" s="268" t="s">
        <v>158</v>
      </c>
      <c r="B33" s="268"/>
      <c r="C33" s="268"/>
      <c r="D33" s="268"/>
      <c r="E33" s="268"/>
      <c r="F33" s="268"/>
      <c r="G33" s="268"/>
    </row>
  </sheetData>
  <mergeCells count="11">
    <mergeCell ref="E1:G1"/>
    <mergeCell ref="A5:A6"/>
    <mergeCell ref="D5:D6"/>
    <mergeCell ref="E5:E6"/>
    <mergeCell ref="A33:G33"/>
    <mergeCell ref="A2:G2"/>
    <mergeCell ref="A3:G3"/>
    <mergeCell ref="F5:G5"/>
    <mergeCell ref="C5:C6"/>
    <mergeCell ref="B5:B6"/>
    <mergeCell ref="D4:G4"/>
  </mergeCells>
  <pageMargins left="0.21" right="0.2" top="0.75" bottom="0.75" header="0.3" footer="0.3"/>
  <pageSetup paperSize="9"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C6" sqref="C6"/>
    </sheetView>
  </sheetViews>
  <sheetFormatPr defaultRowHeight="14.5" x14ac:dyDescent="0.35"/>
  <cols>
    <col min="1" max="1" width="3.7265625" customWidth="1"/>
    <col min="2" max="2" width="35.54296875" customWidth="1"/>
    <col min="3" max="3" width="11.7265625" customWidth="1"/>
    <col min="4" max="4" width="11.26953125" customWidth="1"/>
    <col min="5" max="5" width="11.7265625" customWidth="1"/>
    <col min="6" max="6" width="11.453125" customWidth="1"/>
    <col min="7" max="7" width="6.453125" customWidth="1"/>
    <col min="8" max="8" width="8" customWidth="1"/>
  </cols>
  <sheetData>
    <row r="1" spans="1:9" ht="15.5" x14ac:dyDescent="0.35">
      <c r="A1" s="85"/>
      <c r="B1" s="86"/>
      <c r="C1" s="86"/>
      <c r="D1" s="86"/>
      <c r="E1" s="86"/>
      <c r="F1" s="274" t="s">
        <v>234</v>
      </c>
      <c r="G1" s="274"/>
      <c r="H1" s="274"/>
      <c r="I1" s="1"/>
    </row>
    <row r="2" spans="1:9" ht="15" x14ac:dyDescent="0.35">
      <c r="A2" s="274" t="s">
        <v>235</v>
      </c>
      <c r="B2" s="274"/>
      <c r="C2" s="274"/>
      <c r="D2" s="274"/>
      <c r="E2" s="274"/>
      <c r="F2" s="274"/>
      <c r="G2" s="274"/>
      <c r="H2" s="274"/>
      <c r="I2" s="1"/>
    </row>
    <row r="3" spans="1:9" ht="15.75" customHeight="1" x14ac:dyDescent="0.35">
      <c r="A3" s="270" t="s">
        <v>467</v>
      </c>
      <c r="B3" s="270"/>
      <c r="C3" s="270"/>
      <c r="D3" s="270"/>
      <c r="E3" s="270"/>
      <c r="F3" s="270"/>
      <c r="G3" s="270"/>
      <c r="H3" s="270"/>
      <c r="I3" s="1"/>
    </row>
    <row r="4" spans="1:9" ht="15.5" x14ac:dyDescent="0.35">
      <c r="A4" s="87"/>
      <c r="B4" s="86"/>
      <c r="C4" s="86"/>
      <c r="D4" s="86"/>
      <c r="E4" s="277" t="s">
        <v>46</v>
      </c>
      <c r="F4" s="277"/>
      <c r="G4" s="277"/>
      <c r="H4" s="277"/>
      <c r="I4" s="1"/>
    </row>
    <row r="5" spans="1:9" ht="24" customHeight="1" x14ac:dyDescent="0.35">
      <c r="A5" s="276" t="s">
        <v>48</v>
      </c>
      <c r="B5" s="276" t="s">
        <v>3</v>
      </c>
      <c r="C5" s="276" t="s">
        <v>236</v>
      </c>
      <c r="D5" s="276"/>
      <c r="E5" s="276" t="s">
        <v>237</v>
      </c>
      <c r="F5" s="276"/>
      <c r="G5" s="276" t="s">
        <v>238</v>
      </c>
      <c r="H5" s="276"/>
      <c r="I5" s="1"/>
    </row>
    <row r="6" spans="1:9" ht="45" customHeight="1" x14ac:dyDescent="0.35">
      <c r="A6" s="276"/>
      <c r="B6" s="276"/>
      <c r="C6" s="199" t="s">
        <v>239</v>
      </c>
      <c r="D6" s="199" t="s">
        <v>240</v>
      </c>
      <c r="E6" s="199" t="s">
        <v>239</v>
      </c>
      <c r="F6" s="199" t="s">
        <v>240</v>
      </c>
      <c r="G6" s="199" t="s">
        <v>239</v>
      </c>
      <c r="H6" s="199" t="s">
        <v>240</v>
      </c>
      <c r="I6" s="1"/>
    </row>
    <row r="7" spans="1:9" x14ac:dyDescent="0.35">
      <c r="A7" s="199" t="s">
        <v>4</v>
      </c>
      <c r="B7" s="199" t="s">
        <v>14</v>
      </c>
      <c r="C7" s="199">
        <v>1</v>
      </c>
      <c r="D7" s="199">
        <v>2</v>
      </c>
      <c r="E7" s="199">
        <v>3</v>
      </c>
      <c r="F7" s="199">
        <v>4</v>
      </c>
      <c r="G7" s="199" t="s">
        <v>241</v>
      </c>
      <c r="H7" s="199" t="s">
        <v>242</v>
      </c>
      <c r="I7" s="1"/>
    </row>
    <row r="8" spans="1:9" x14ac:dyDescent="0.35">
      <c r="A8" s="30"/>
      <c r="B8" s="31" t="s">
        <v>41</v>
      </c>
      <c r="C8" s="198">
        <f>C9+C31+C34</f>
        <v>288931960</v>
      </c>
      <c r="D8" s="198">
        <f>D9+D31+D34</f>
        <v>156819836</v>
      </c>
      <c r="E8" s="198">
        <f>E9+E31+E34</f>
        <v>390030000</v>
      </c>
      <c r="F8" s="32">
        <f>F9+F31+F34</f>
        <v>251617250</v>
      </c>
      <c r="G8" s="134">
        <f>E8/C8%</f>
        <v>134.99025860621302</v>
      </c>
      <c r="H8" s="135">
        <f>F8/D8%</f>
        <v>160.44988721962443</v>
      </c>
      <c r="I8" s="1"/>
    </row>
    <row r="9" spans="1:9" ht="20.25" customHeight="1" x14ac:dyDescent="0.35">
      <c r="A9" s="34" t="s">
        <v>4</v>
      </c>
      <c r="B9" s="35" t="s">
        <v>40</v>
      </c>
      <c r="C9" s="136">
        <f>C10+C14</f>
        <v>158814105</v>
      </c>
      <c r="D9" s="136">
        <f>D10+D14</f>
        <v>26701981</v>
      </c>
      <c r="E9" s="136">
        <f>E10+E14</f>
        <v>256940000</v>
      </c>
      <c r="F9" s="32">
        <f>F10+F14</f>
        <v>118527250</v>
      </c>
      <c r="G9" s="134">
        <f t="shared" ref="G9:G36" si="0">E9/C9%</f>
        <v>161.78663727633008</v>
      </c>
      <c r="H9" s="135">
        <f t="shared" ref="H9:H36" si="1">F9/D9%</f>
        <v>443.88935038190613</v>
      </c>
      <c r="I9" s="1"/>
    </row>
    <row r="10" spans="1:9" x14ac:dyDescent="0.35">
      <c r="A10" s="34" t="s">
        <v>1</v>
      </c>
      <c r="B10" s="35" t="s">
        <v>6</v>
      </c>
      <c r="C10" s="136">
        <f>C11+C12+C13</f>
        <v>1948077</v>
      </c>
      <c r="D10" s="136">
        <f>D11+D12+D13</f>
        <v>1078190</v>
      </c>
      <c r="E10" s="36">
        <v>1400000</v>
      </c>
      <c r="F10" s="36">
        <f>SUM(F11:F13)</f>
        <v>1400000</v>
      </c>
      <c r="G10" s="134">
        <f t="shared" si="0"/>
        <v>71.865742473218461</v>
      </c>
      <c r="H10" s="135">
        <f t="shared" si="1"/>
        <v>129.84724399224626</v>
      </c>
      <c r="I10" s="1"/>
    </row>
    <row r="11" spans="1:9" ht="16.5" customHeight="1" x14ac:dyDescent="0.35">
      <c r="A11" s="37">
        <v>1</v>
      </c>
      <c r="B11" s="38" t="s">
        <v>183</v>
      </c>
      <c r="C11" s="137">
        <v>1449044</v>
      </c>
      <c r="D11" s="137">
        <v>579157</v>
      </c>
      <c r="E11" s="40">
        <v>1000000</v>
      </c>
      <c r="F11" s="40">
        <f>'Phụ biểu 01'!F10</f>
        <v>1000000</v>
      </c>
      <c r="G11" s="138">
        <f t="shared" si="0"/>
        <v>69.011016918740907</v>
      </c>
      <c r="H11" s="139">
        <f t="shared" si="1"/>
        <v>172.66475239011186</v>
      </c>
      <c r="I11" s="1"/>
    </row>
    <row r="12" spans="1:9" x14ac:dyDescent="0.35">
      <c r="A12" s="37">
        <v>2</v>
      </c>
      <c r="B12" s="41" t="s">
        <v>184</v>
      </c>
      <c r="C12" s="137">
        <v>139000</v>
      </c>
      <c r="D12" s="137">
        <f t="shared" ref="D12:D13" si="2">C12</f>
        <v>139000</v>
      </c>
      <c r="E12" s="40">
        <v>200000</v>
      </c>
      <c r="F12" s="40">
        <f>'Phụ biểu 01'!F11</f>
        <v>200000</v>
      </c>
      <c r="G12" s="138">
        <f t="shared" si="0"/>
        <v>143.88489208633092</v>
      </c>
      <c r="H12" s="139">
        <f t="shared" si="1"/>
        <v>143.88489208633092</v>
      </c>
      <c r="I12" s="1"/>
    </row>
    <row r="13" spans="1:9" x14ac:dyDescent="0.35">
      <c r="A13" s="37">
        <v>3</v>
      </c>
      <c r="B13" s="43" t="s">
        <v>185</v>
      </c>
      <c r="C13" s="137">
        <v>360033</v>
      </c>
      <c r="D13" s="137">
        <f t="shared" si="2"/>
        <v>360033</v>
      </c>
      <c r="E13" s="40">
        <v>200000</v>
      </c>
      <c r="F13" s="40">
        <f>'Phụ biểu 01'!F12</f>
        <v>200000</v>
      </c>
      <c r="G13" s="138">
        <f t="shared" si="0"/>
        <v>55.550463429741164</v>
      </c>
      <c r="H13" s="139">
        <f t="shared" si="1"/>
        <v>55.550463429741164</v>
      </c>
      <c r="I13" s="1"/>
    </row>
    <row r="14" spans="1:9" x14ac:dyDescent="0.35">
      <c r="A14" s="34" t="s">
        <v>2</v>
      </c>
      <c r="B14" s="44" t="s">
        <v>42</v>
      </c>
      <c r="C14" s="136">
        <f>C15+C17</f>
        <v>156866028</v>
      </c>
      <c r="D14" s="136">
        <f>D15+D17</f>
        <v>25623791</v>
      </c>
      <c r="E14" s="136">
        <f>E15+E17</f>
        <v>255540000</v>
      </c>
      <c r="F14" s="45">
        <f>F15+F17</f>
        <v>117127250</v>
      </c>
      <c r="G14" s="134">
        <f t="shared" si="0"/>
        <v>162.90334067743464</v>
      </c>
      <c r="H14" s="135">
        <f t="shared" si="1"/>
        <v>457.10351758644924</v>
      </c>
      <c r="I14" s="1"/>
    </row>
    <row r="15" spans="1:9" x14ac:dyDescent="0.35">
      <c r="A15" s="34">
        <v>1</v>
      </c>
      <c r="B15" s="44" t="s">
        <v>43</v>
      </c>
      <c r="C15" s="136">
        <f>C16</f>
        <v>7634325</v>
      </c>
      <c r="D15" s="136">
        <f>D16</f>
        <v>1682553</v>
      </c>
      <c r="E15" s="136">
        <v>12190000</v>
      </c>
      <c r="F15" s="45">
        <f>F16</f>
        <v>6095000</v>
      </c>
      <c r="G15" s="134">
        <f t="shared" si="0"/>
        <v>159.67357952405746</v>
      </c>
      <c r="H15" s="135">
        <f t="shared" si="1"/>
        <v>362.2471327797698</v>
      </c>
      <c r="I15" s="1"/>
    </row>
    <row r="16" spans="1:9" x14ac:dyDescent="0.35">
      <c r="A16" s="46" t="s">
        <v>37</v>
      </c>
      <c r="B16" s="41" t="s">
        <v>186</v>
      </c>
      <c r="C16" s="137">
        <v>7634325</v>
      </c>
      <c r="D16" s="137">
        <v>1682553</v>
      </c>
      <c r="E16" s="137">
        <v>12190000</v>
      </c>
      <c r="F16" s="40">
        <f>'Phụ biểu 01'!G15/2</f>
        <v>6095000</v>
      </c>
      <c r="G16" s="138">
        <f t="shared" si="0"/>
        <v>159.67357952405746</v>
      </c>
      <c r="H16" s="139">
        <f t="shared" si="1"/>
        <v>362.2471327797698</v>
      </c>
      <c r="I16" s="1"/>
    </row>
    <row r="17" spans="1:9" ht="26" x14ac:dyDescent="0.35">
      <c r="A17" s="34">
        <v>2</v>
      </c>
      <c r="B17" s="44" t="s">
        <v>187</v>
      </c>
      <c r="C17" s="136">
        <f>C18+C21+C24+C25+C29</f>
        <v>149231703</v>
      </c>
      <c r="D17" s="136">
        <f>D18+D21+D24+D25</f>
        <v>23941238</v>
      </c>
      <c r="E17" s="136">
        <f>E18+E21+E24+E25+E29+E30</f>
        <v>243350000</v>
      </c>
      <c r="F17" s="32">
        <f>F18+F21+F24+F25+F29+F30</f>
        <v>111032250</v>
      </c>
      <c r="G17" s="134">
        <f t="shared" si="0"/>
        <v>163.06856727353704</v>
      </c>
      <c r="H17" s="135">
        <f t="shared" si="1"/>
        <v>463.76987689609035</v>
      </c>
      <c r="I17" s="1"/>
    </row>
    <row r="18" spans="1:9" x14ac:dyDescent="0.35">
      <c r="A18" s="34" t="s">
        <v>19</v>
      </c>
      <c r="B18" s="44" t="s">
        <v>9</v>
      </c>
      <c r="C18" s="137">
        <f>C19+C20</f>
        <v>3194666</v>
      </c>
      <c r="D18" s="137">
        <f>D19+D20</f>
        <v>688036</v>
      </c>
      <c r="E18" s="136">
        <v>3300000</v>
      </c>
      <c r="F18" s="32">
        <f>SUM(F19:F20)</f>
        <v>1650000</v>
      </c>
      <c r="G18" s="134">
        <f t="shared" si="0"/>
        <v>103.29718349273445</v>
      </c>
      <c r="H18" s="135">
        <f t="shared" si="1"/>
        <v>239.81303303896891</v>
      </c>
      <c r="I18" s="1"/>
    </row>
    <row r="19" spans="1:9" ht="33" customHeight="1" x14ac:dyDescent="0.35">
      <c r="A19" s="37" t="s">
        <v>28</v>
      </c>
      <c r="B19" s="41" t="s">
        <v>188</v>
      </c>
      <c r="C19" s="137">
        <v>1794666</v>
      </c>
      <c r="D19" s="137">
        <v>277121</v>
      </c>
      <c r="E19" s="137">
        <v>1500000</v>
      </c>
      <c r="F19" s="40">
        <f>'Phụ biểu 01'!F18</f>
        <v>750000</v>
      </c>
      <c r="G19" s="138">
        <f t="shared" si="0"/>
        <v>83.581011731430806</v>
      </c>
      <c r="H19" s="139">
        <f t="shared" si="1"/>
        <v>270.63990098188157</v>
      </c>
      <c r="I19" s="1"/>
    </row>
    <row r="20" spans="1:9" x14ac:dyDescent="0.35">
      <c r="A20" s="37" t="s">
        <v>29</v>
      </c>
      <c r="B20" s="43" t="s">
        <v>189</v>
      </c>
      <c r="C20" s="137">
        <v>1400000</v>
      </c>
      <c r="D20" s="137">
        <v>410915</v>
      </c>
      <c r="E20" s="137">
        <v>1800000</v>
      </c>
      <c r="F20" s="40">
        <f>'Phụ biểu 01'!F19</f>
        <v>900000</v>
      </c>
      <c r="G20" s="138">
        <f t="shared" si="0"/>
        <v>128.57142857142858</v>
      </c>
      <c r="H20" s="139">
        <f t="shared" si="1"/>
        <v>219.02339899979316</v>
      </c>
      <c r="I20" s="1"/>
    </row>
    <row r="21" spans="1:9" ht="22.5" customHeight="1" x14ac:dyDescent="0.35">
      <c r="A21" s="34" t="s">
        <v>20</v>
      </c>
      <c r="B21" s="44" t="s">
        <v>45</v>
      </c>
      <c r="C21" s="140">
        <f>C22</f>
        <v>52296491</v>
      </c>
      <c r="D21" s="140">
        <f>D22</f>
        <v>20999402</v>
      </c>
      <c r="E21" s="140">
        <f>E22+E23</f>
        <v>129150000</v>
      </c>
      <c r="F21" s="32">
        <f>SUM(F22:F23)</f>
        <v>36044250</v>
      </c>
      <c r="G21" s="134">
        <f t="shared" si="0"/>
        <v>246.95729585375051</v>
      </c>
      <c r="H21" s="135">
        <f t="shared" si="1"/>
        <v>171.64417348646404</v>
      </c>
      <c r="I21" s="1"/>
    </row>
    <row r="22" spans="1:9" ht="52" x14ac:dyDescent="0.35">
      <c r="A22" s="37" t="s">
        <v>28</v>
      </c>
      <c r="B22" s="43" t="s">
        <v>190</v>
      </c>
      <c r="C22" s="141">
        <v>52296491</v>
      </c>
      <c r="D22" s="141">
        <v>20999402</v>
      </c>
      <c r="E22" s="141">
        <v>96000000</v>
      </c>
      <c r="F22" s="47">
        <f>'Phụ biểu 01'!G21*20%*85%</f>
        <v>16320000</v>
      </c>
      <c r="G22" s="138">
        <f t="shared" si="0"/>
        <v>183.56872165667866</v>
      </c>
      <c r="H22" s="139">
        <f t="shared" si="1"/>
        <v>77.716498784108239</v>
      </c>
      <c r="I22" s="1"/>
    </row>
    <row r="23" spans="1:9" ht="53.25" customHeight="1" x14ac:dyDescent="0.35">
      <c r="A23" s="37" t="s">
        <v>29</v>
      </c>
      <c r="B23" s="43" t="s">
        <v>191</v>
      </c>
      <c r="C23" s="142"/>
      <c r="D23" s="142"/>
      <c r="E23" s="141">
        <v>33150000</v>
      </c>
      <c r="F23" s="47">
        <f>'Phụ biểu 01'!G22*70%*85%</f>
        <v>19724250</v>
      </c>
      <c r="G23" s="138"/>
      <c r="H23" s="139"/>
      <c r="I23" s="1"/>
    </row>
    <row r="24" spans="1:9" x14ac:dyDescent="0.35">
      <c r="A24" s="34" t="s">
        <v>21</v>
      </c>
      <c r="B24" s="44" t="s">
        <v>10</v>
      </c>
      <c r="C24" s="137">
        <v>1500000</v>
      </c>
      <c r="D24" s="137"/>
      <c r="E24" s="136">
        <v>1500000</v>
      </c>
      <c r="F24" s="45">
        <f>'Phụ biểu 01'!F23</f>
        <v>838000</v>
      </c>
      <c r="G24" s="134">
        <f t="shared" si="0"/>
        <v>100</v>
      </c>
      <c r="H24" s="135"/>
      <c r="I24" s="1"/>
    </row>
    <row r="25" spans="1:9" x14ac:dyDescent="0.35">
      <c r="A25" s="34" t="s">
        <v>22</v>
      </c>
      <c r="B25" s="49" t="s">
        <v>11</v>
      </c>
      <c r="C25" s="136">
        <f>C26+C27+C28</f>
        <v>66734546</v>
      </c>
      <c r="D25" s="136">
        <f>D28</f>
        <v>2253800</v>
      </c>
      <c r="E25" s="136">
        <f>E26+E27+E28</f>
        <v>61900000</v>
      </c>
      <c r="F25" s="45">
        <f>SUM(F26:F28)</f>
        <v>30750000</v>
      </c>
      <c r="G25" s="134">
        <f t="shared" si="0"/>
        <v>92.755557219194998</v>
      </c>
      <c r="H25" s="135">
        <f t="shared" si="1"/>
        <v>1364.3624101517437</v>
      </c>
      <c r="I25" s="1"/>
    </row>
    <row r="26" spans="1:9" x14ac:dyDescent="0.35">
      <c r="A26" s="37" t="s">
        <v>28</v>
      </c>
      <c r="B26" s="38" t="s">
        <v>192</v>
      </c>
      <c r="C26" s="137">
        <v>1000000</v>
      </c>
      <c r="D26" s="137"/>
      <c r="E26" s="137">
        <v>400000</v>
      </c>
      <c r="F26" s="40">
        <f>'Phụ biểu 01'!F25</f>
        <v>0</v>
      </c>
      <c r="G26" s="138">
        <f t="shared" si="0"/>
        <v>40</v>
      </c>
      <c r="H26" s="139"/>
      <c r="I26" s="1"/>
    </row>
    <row r="27" spans="1:9" x14ac:dyDescent="0.35">
      <c r="A27" s="37" t="s">
        <v>29</v>
      </c>
      <c r="B27" s="38" t="s">
        <v>179</v>
      </c>
      <c r="C27" s="137">
        <v>1500000</v>
      </c>
      <c r="D27" s="137"/>
      <c r="E27" s="137">
        <v>1500000</v>
      </c>
      <c r="F27" s="40">
        <f>'Phụ biểu 01'!G26/2</f>
        <v>750000</v>
      </c>
      <c r="G27" s="138">
        <f t="shared" si="0"/>
        <v>100</v>
      </c>
      <c r="H27" s="139"/>
      <c r="I27" s="1"/>
    </row>
    <row r="28" spans="1:9" x14ac:dyDescent="0.35">
      <c r="A28" s="37" t="s">
        <v>30</v>
      </c>
      <c r="B28" s="38" t="s">
        <v>193</v>
      </c>
      <c r="C28" s="143">
        <v>64234546</v>
      </c>
      <c r="D28" s="143">
        <v>2253800</v>
      </c>
      <c r="E28" s="143">
        <v>60000000</v>
      </c>
      <c r="F28" s="40">
        <f>'Phụ biểu 01'!G27/2</f>
        <v>30000000</v>
      </c>
      <c r="G28" s="138">
        <f t="shared" si="0"/>
        <v>93.407681281035295</v>
      </c>
      <c r="H28" s="139">
        <f t="shared" si="1"/>
        <v>1331.0852781968231</v>
      </c>
      <c r="I28" s="1"/>
    </row>
    <row r="29" spans="1:9" x14ac:dyDescent="0.35">
      <c r="A29" s="50" t="s">
        <v>23</v>
      </c>
      <c r="B29" s="44" t="s">
        <v>12</v>
      </c>
      <c r="C29" s="143">
        <v>25506000</v>
      </c>
      <c r="D29" s="144"/>
      <c r="E29" s="145">
        <v>11500000</v>
      </c>
      <c r="F29" s="45">
        <f>'Phụ biểu 01'!G28/2</f>
        <v>5750000</v>
      </c>
      <c r="G29" s="134">
        <f t="shared" si="0"/>
        <v>45.087430408531326</v>
      </c>
      <c r="H29" s="135"/>
      <c r="I29" s="1"/>
    </row>
    <row r="30" spans="1:9" x14ac:dyDescent="0.35">
      <c r="A30" s="50" t="s">
        <v>24</v>
      </c>
      <c r="B30" s="44" t="s">
        <v>194</v>
      </c>
      <c r="C30" s="10">
        <v>0</v>
      </c>
      <c r="D30" s="10">
        <v>0</v>
      </c>
      <c r="E30" s="205">
        <v>36000000</v>
      </c>
      <c r="F30" s="45">
        <f>'Phụ biểu 01'!G29</f>
        <v>36000000</v>
      </c>
      <c r="G30" s="134"/>
      <c r="H30" s="135"/>
      <c r="I30" s="1"/>
    </row>
    <row r="31" spans="1:9" x14ac:dyDescent="0.35">
      <c r="A31" s="34" t="s">
        <v>14</v>
      </c>
      <c r="B31" s="52" t="s">
        <v>7</v>
      </c>
      <c r="C31" s="152">
        <v>127824496</v>
      </c>
      <c r="D31" s="133">
        <f>D32+D33</f>
        <v>127824496</v>
      </c>
      <c r="E31" s="133">
        <v>121890000</v>
      </c>
      <c r="F31" s="45">
        <f>SUM(F32:F33)</f>
        <v>121890000</v>
      </c>
      <c r="G31" s="134">
        <f t="shared" si="0"/>
        <v>95.35730929070121</v>
      </c>
      <c r="H31" s="135">
        <f t="shared" si="1"/>
        <v>95.35730929070121</v>
      </c>
      <c r="I31" s="1"/>
    </row>
    <row r="32" spans="1:9" x14ac:dyDescent="0.35">
      <c r="A32" s="54">
        <v>1</v>
      </c>
      <c r="B32" s="41" t="s">
        <v>195</v>
      </c>
      <c r="C32" s="24">
        <v>90158755</v>
      </c>
      <c r="D32" s="24">
        <f>C32</f>
        <v>90158755</v>
      </c>
      <c r="E32" s="24">
        <v>98084000</v>
      </c>
      <c r="F32" s="40">
        <f>'Phụ biểu 01'!G31</f>
        <v>98084000</v>
      </c>
      <c r="G32" s="138">
        <f t="shared" si="0"/>
        <v>108.79032213787778</v>
      </c>
      <c r="H32" s="139">
        <f t="shared" si="1"/>
        <v>108.79032213787778</v>
      </c>
      <c r="I32" s="1"/>
    </row>
    <row r="33" spans="1:9" x14ac:dyDescent="0.35">
      <c r="A33" s="54">
        <v>2</v>
      </c>
      <c r="B33" s="41" t="s">
        <v>196</v>
      </c>
      <c r="C33" s="24">
        <v>37665741</v>
      </c>
      <c r="D33" s="24">
        <v>37665741</v>
      </c>
      <c r="E33" s="24">
        <v>23806000</v>
      </c>
      <c r="F33" s="40">
        <f>'Phụ biểu 01'!G32</f>
        <v>23806000</v>
      </c>
      <c r="G33" s="138">
        <f t="shared" si="0"/>
        <v>63.203323147153803</v>
      </c>
      <c r="H33" s="139">
        <f t="shared" si="1"/>
        <v>63.203323147153803</v>
      </c>
      <c r="I33" s="1"/>
    </row>
    <row r="34" spans="1:9" x14ac:dyDescent="0.35">
      <c r="A34" s="34" t="s">
        <v>15</v>
      </c>
      <c r="B34" s="35" t="s">
        <v>197</v>
      </c>
      <c r="C34" s="205">
        <f>C35+C36</f>
        <v>2293359</v>
      </c>
      <c r="D34" s="205">
        <f>D35+D36</f>
        <v>2293359</v>
      </c>
      <c r="E34" s="205">
        <v>11200000</v>
      </c>
      <c r="F34" s="45">
        <f>F36</f>
        <v>11200000</v>
      </c>
      <c r="G34" s="134">
        <f t="shared" si="0"/>
        <v>488.36662729210735</v>
      </c>
      <c r="H34" s="135">
        <f t="shared" si="1"/>
        <v>488.36662729210735</v>
      </c>
      <c r="I34" s="1"/>
    </row>
    <row r="35" spans="1:9" x14ac:dyDescent="0.35">
      <c r="A35" s="57">
        <v>1</v>
      </c>
      <c r="B35" s="41" t="s">
        <v>8</v>
      </c>
      <c r="C35" s="24">
        <f>D35</f>
        <v>851609</v>
      </c>
      <c r="D35" s="24">
        <v>851609</v>
      </c>
      <c r="E35" s="10">
        <v>0</v>
      </c>
      <c r="F35" s="45">
        <v>0</v>
      </c>
      <c r="G35" s="138">
        <f t="shared" si="0"/>
        <v>0</v>
      </c>
      <c r="H35" s="135">
        <f t="shared" si="1"/>
        <v>0</v>
      </c>
      <c r="I35" s="1"/>
    </row>
    <row r="36" spans="1:9" ht="26" x14ac:dyDescent="0.35">
      <c r="A36" s="54">
        <v>2</v>
      </c>
      <c r="B36" s="41" t="s">
        <v>198</v>
      </c>
      <c r="C36" s="24">
        <f>D36</f>
        <v>1441750</v>
      </c>
      <c r="D36" s="24">
        <v>1441750</v>
      </c>
      <c r="E36" s="24">
        <v>11200000</v>
      </c>
      <c r="F36" s="132">
        <f>'Phụ biểu 01'!G35</f>
        <v>11200000</v>
      </c>
      <c r="G36" s="146">
        <f t="shared" si="0"/>
        <v>776.83370903415982</v>
      </c>
      <c r="H36" s="147">
        <f t="shared" si="1"/>
        <v>776.83370903415982</v>
      </c>
      <c r="I36" s="1"/>
    </row>
    <row r="37" spans="1:9" ht="6" customHeight="1" x14ac:dyDescent="0.35">
      <c r="A37" s="206"/>
      <c r="B37" s="207"/>
      <c r="C37" s="208"/>
      <c r="D37" s="208"/>
      <c r="E37" s="208"/>
      <c r="F37" s="209"/>
      <c r="G37" s="210"/>
      <c r="H37" s="211"/>
      <c r="I37" s="1"/>
    </row>
    <row r="38" spans="1:9" ht="18.75" customHeight="1" x14ac:dyDescent="0.35">
      <c r="A38" s="1"/>
      <c r="B38" s="1"/>
      <c r="C38" s="275" t="s">
        <v>406</v>
      </c>
      <c r="D38" s="275"/>
      <c r="E38" s="275"/>
      <c r="F38" s="275"/>
      <c r="G38" s="275"/>
      <c r="H38" s="275"/>
      <c r="I38" s="275"/>
    </row>
  </sheetData>
  <mergeCells count="10">
    <mergeCell ref="F1:H1"/>
    <mergeCell ref="C38:I38"/>
    <mergeCell ref="A2:H2"/>
    <mergeCell ref="A5:A6"/>
    <mergeCell ref="B5:B6"/>
    <mergeCell ref="C5:D5"/>
    <mergeCell ref="E5:F5"/>
    <mergeCell ref="G5:H5"/>
    <mergeCell ref="A3:H3"/>
    <mergeCell ref="E4:H4"/>
  </mergeCells>
  <pageMargins left="0.2" right="0.2" top="0.54" bottom="0.42"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89" zoomScaleNormal="89" workbookViewId="0">
      <selection activeCell="Q18" sqref="Q18"/>
    </sheetView>
  </sheetViews>
  <sheetFormatPr defaultRowHeight="14.5" x14ac:dyDescent="0.35"/>
  <cols>
    <col min="1" max="1" width="5" customWidth="1"/>
    <col min="2" max="2" width="40.1796875" customWidth="1"/>
    <col min="3" max="3" width="16" customWidth="1"/>
    <col min="4" max="4" width="12.81640625" customWidth="1"/>
    <col min="5" max="5" width="12.453125" customWidth="1"/>
    <col min="6" max="6" width="11.453125" customWidth="1"/>
  </cols>
  <sheetData>
    <row r="1" spans="1:6" x14ac:dyDescent="0.35">
      <c r="A1" s="1"/>
      <c r="B1" s="1"/>
      <c r="C1" s="1"/>
      <c r="D1" s="1"/>
      <c r="E1" s="278" t="s">
        <v>73</v>
      </c>
      <c r="F1" s="278"/>
    </row>
    <row r="2" spans="1:6" x14ac:dyDescent="0.35">
      <c r="A2" s="269" t="s">
        <v>411</v>
      </c>
      <c r="B2" s="269"/>
      <c r="C2" s="269"/>
      <c r="D2" s="269"/>
      <c r="E2" s="269"/>
      <c r="F2" s="269"/>
    </row>
    <row r="3" spans="1:6" x14ac:dyDescent="0.35">
      <c r="A3" s="270" t="s">
        <v>467</v>
      </c>
      <c r="B3" s="270"/>
      <c r="C3" s="270"/>
      <c r="D3" s="270"/>
      <c r="E3" s="270"/>
      <c r="F3" s="270"/>
    </row>
    <row r="4" spans="1:6" x14ac:dyDescent="0.35">
      <c r="A4" s="1"/>
      <c r="B4" s="1"/>
      <c r="C4" s="1"/>
      <c r="D4" s="279" t="s">
        <v>46</v>
      </c>
      <c r="E4" s="279"/>
      <c r="F4" s="279"/>
    </row>
    <row r="5" spans="1:6" x14ac:dyDescent="0.35">
      <c r="A5" s="266" t="s">
        <v>48</v>
      </c>
      <c r="B5" s="266" t="s">
        <v>3</v>
      </c>
      <c r="C5" s="280" t="s">
        <v>404</v>
      </c>
      <c r="D5" s="280" t="s">
        <v>237</v>
      </c>
      <c r="E5" s="280" t="s">
        <v>74</v>
      </c>
      <c r="F5" s="280"/>
    </row>
    <row r="6" spans="1:6" ht="28" x14ac:dyDescent="0.35">
      <c r="A6" s="267"/>
      <c r="B6" s="267"/>
      <c r="C6" s="280"/>
      <c r="D6" s="280"/>
      <c r="E6" s="148" t="s">
        <v>49</v>
      </c>
      <c r="F6" s="148" t="s">
        <v>407</v>
      </c>
    </row>
    <row r="7" spans="1:6" x14ac:dyDescent="0.35">
      <c r="A7" s="5" t="s">
        <v>4</v>
      </c>
      <c r="B7" s="5" t="s">
        <v>14</v>
      </c>
      <c r="C7" s="5">
        <v>1</v>
      </c>
      <c r="D7" s="5">
        <v>2</v>
      </c>
      <c r="E7" s="5" t="s">
        <v>75</v>
      </c>
      <c r="F7" s="5" t="s">
        <v>76</v>
      </c>
    </row>
    <row r="8" spans="1:6" x14ac:dyDescent="0.35">
      <c r="A8" s="6"/>
      <c r="B8" s="7" t="s">
        <v>59</v>
      </c>
      <c r="C8" s="16">
        <f>C9</f>
        <v>140420380</v>
      </c>
      <c r="D8" s="16">
        <f>D9</f>
        <v>251617250</v>
      </c>
      <c r="E8" s="16">
        <f>D8-C8</f>
        <v>111196870</v>
      </c>
      <c r="F8" s="17">
        <f>D8/C8%</f>
        <v>179.18855510859606</v>
      </c>
    </row>
    <row r="9" spans="1:6" x14ac:dyDescent="0.35">
      <c r="A9" s="6" t="s">
        <v>4</v>
      </c>
      <c r="B9" s="7" t="s">
        <v>77</v>
      </c>
      <c r="C9" s="16">
        <f>C10+C20+C25+C26+C27</f>
        <v>140420380</v>
      </c>
      <c r="D9" s="16">
        <f>D10+D20+D25+D26</f>
        <v>251617250</v>
      </c>
      <c r="E9" s="16">
        <f t="shared" ref="E9:E32" si="0">D9-C9</f>
        <v>111196870</v>
      </c>
      <c r="F9" s="17">
        <f t="shared" ref="F9:F27" si="1">D9/C9%</f>
        <v>179.18855510859606</v>
      </c>
    </row>
    <row r="10" spans="1:6" x14ac:dyDescent="0.35">
      <c r="A10" s="6" t="s">
        <v>1</v>
      </c>
      <c r="B10" s="7" t="s">
        <v>36</v>
      </c>
      <c r="C10" s="16">
        <f>C11+C19</f>
        <v>36846792</v>
      </c>
      <c r="D10" s="16">
        <f>D11+D19</f>
        <v>83244250</v>
      </c>
      <c r="E10" s="16">
        <f t="shared" si="0"/>
        <v>46397458</v>
      </c>
      <c r="F10" s="17">
        <f t="shared" si="1"/>
        <v>225.91993897324903</v>
      </c>
    </row>
    <row r="11" spans="1:6" x14ac:dyDescent="0.35">
      <c r="A11" s="5">
        <v>1</v>
      </c>
      <c r="B11" s="2" t="s">
        <v>78</v>
      </c>
      <c r="C11" s="15">
        <f>C16</f>
        <v>21420000</v>
      </c>
      <c r="D11" s="15">
        <f>D16</f>
        <v>47244250</v>
      </c>
      <c r="E11" s="15">
        <f t="shared" si="0"/>
        <v>25824250</v>
      </c>
      <c r="F11" s="18">
        <f t="shared" si="1"/>
        <v>220.56139122315594</v>
      </c>
    </row>
    <row r="12" spans="1:6" x14ac:dyDescent="0.35">
      <c r="A12" s="5"/>
      <c r="B12" s="2" t="s">
        <v>79</v>
      </c>
      <c r="C12" s="15"/>
      <c r="D12" s="16"/>
      <c r="E12" s="16">
        <f t="shared" si="0"/>
        <v>0</v>
      </c>
      <c r="F12" s="17"/>
    </row>
    <row r="13" spans="1:6" x14ac:dyDescent="0.35">
      <c r="A13" s="5" t="s">
        <v>38</v>
      </c>
      <c r="B13" s="2" t="s">
        <v>80</v>
      </c>
      <c r="C13" s="2"/>
      <c r="D13" s="16"/>
      <c r="E13" s="16">
        <f t="shared" si="0"/>
        <v>0</v>
      </c>
      <c r="F13" s="17"/>
    </row>
    <row r="14" spans="1:6" x14ac:dyDescent="0.35">
      <c r="A14" s="5" t="s">
        <v>38</v>
      </c>
      <c r="B14" s="2" t="s">
        <v>81</v>
      </c>
      <c r="C14" s="2"/>
      <c r="D14" s="16"/>
      <c r="E14" s="16">
        <f t="shared" si="0"/>
        <v>0</v>
      </c>
      <c r="F14" s="17"/>
    </row>
    <row r="15" spans="1:6" x14ac:dyDescent="0.35">
      <c r="A15" s="5"/>
      <c r="B15" s="2" t="s">
        <v>82</v>
      </c>
      <c r="C15" s="2"/>
      <c r="D15" s="16"/>
      <c r="E15" s="16">
        <f t="shared" si="0"/>
        <v>0</v>
      </c>
      <c r="F15" s="17"/>
    </row>
    <row r="16" spans="1:6" x14ac:dyDescent="0.35">
      <c r="A16" s="5" t="s">
        <v>38</v>
      </c>
      <c r="B16" s="2" t="s">
        <v>83</v>
      </c>
      <c r="C16" s="15">
        <v>21420000</v>
      </c>
      <c r="D16" s="15">
        <v>47244250</v>
      </c>
      <c r="E16" s="15">
        <f t="shared" si="0"/>
        <v>25824250</v>
      </c>
      <c r="F16" s="18">
        <f t="shared" si="1"/>
        <v>220.56139122315594</v>
      </c>
    </row>
    <row r="17" spans="1:6" ht="15.75" customHeight="1" x14ac:dyDescent="0.35">
      <c r="A17" s="5" t="s">
        <v>38</v>
      </c>
      <c r="B17" s="2" t="s">
        <v>84</v>
      </c>
      <c r="C17" s="2"/>
      <c r="D17" s="16"/>
      <c r="E17" s="16">
        <f t="shared" si="0"/>
        <v>0</v>
      </c>
      <c r="F17" s="17"/>
    </row>
    <row r="18" spans="1:6" ht="83.15" customHeight="1" x14ac:dyDescent="0.35">
      <c r="A18" s="5">
        <v>2</v>
      </c>
      <c r="B18" s="3" t="s">
        <v>159</v>
      </c>
      <c r="C18" s="2">
        <v>0</v>
      </c>
      <c r="D18" s="16"/>
      <c r="E18" s="16">
        <f t="shared" si="0"/>
        <v>0</v>
      </c>
      <c r="F18" s="17">
        <v>0</v>
      </c>
    </row>
    <row r="19" spans="1:6" ht="34.5" customHeight="1" x14ac:dyDescent="0.35">
      <c r="A19" s="5">
        <v>3</v>
      </c>
      <c r="B19" s="3" t="s">
        <v>408</v>
      </c>
      <c r="C19" s="150">
        <v>15426792</v>
      </c>
      <c r="D19" s="150">
        <v>36000000</v>
      </c>
      <c r="E19" s="150">
        <f t="shared" si="0"/>
        <v>20573208</v>
      </c>
      <c r="F19" s="162">
        <f t="shared" si="1"/>
        <v>233.36024754855057</v>
      </c>
    </row>
    <row r="20" spans="1:6" x14ac:dyDescent="0.35">
      <c r="A20" s="6" t="s">
        <v>2</v>
      </c>
      <c r="B20" s="7" t="s">
        <v>35</v>
      </c>
      <c r="C20" s="16">
        <v>100346391</v>
      </c>
      <c r="D20" s="16">
        <v>162433000</v>
      </c>
      <c r="E20" s="16">
        <f t="shared" si="0"/>
        <v>62086609</v>
      </c>
      <c r="F20" s="17">
        <f t="shared" si="1"/>
        <v>161.87228895955013</v>
      </c>
    </row>
    <row r="21" spans="1:6" x14ac:dyDescent="0.35">
      <c r="A21" s="5"/>
      <c r="B21" s="2" t="s">
        <v>86</v>
      </c>
      <c r="C21" s="2"/>
      <c r="D21" s="15"/>
      <c r="E21" s="16">
        <f t="shared" si="0"/>
        <v>0</v>
      </c>
      <c r="F21" s="17"/>
    </row>
    <row r="22" spans="1:6" x14ac:dyDescent="0.35">
      <c r="A22" s="5">
        <v>1</v>
      </c>
      <c r="B22" s="2" t="s">
        <v>80</v>
      </c>
      <c r="C22" s="15"/>
      <c r="D22" s="15"/>
      <c r="E22" s="16">
        <f t="shared" si="0"/>
        <v>0</v>
      </c>
      <c r="F22" s="17"/>
    </row>
    <row r="23" spans="1:6" x14ac:dyDescent="0.35">
      <c r="A23" s="5">
        <v>2</v>
      </c>
      <c r="B23" s="2" t="s">
        <v>81</v>
      </c>
      <c r="C23" s="2"/>
      <c r="D23" s="15"/>
      <c r="E23" s="16">
        <f t="shared" si="0"/>
        <v>0</v>
      </c>
      <c r="F23" s="17"/>
    </row>
    <row r="24" spans="1:6" ht="29.25" customHeight="1" x14ac:dyDescent="0.35">
      <c r="A24" s="161" t="s">
        <v>25</v>
      </c>
      <c r="B24" s="8" t="s">
        <v>160</v>
      </c>
      <c r="C24" s="16"/>
      <c r="D24" s="15"/>
      <c r="E24" s="16">
        <f t="shared" si="0"/>
        <v>0</v>
      </c>
      <c r="F24" s="17"/>
    </row>
    <row r="25" spans="1:6" ht="18.75" customHeight="1" x14ac:dyDescent="0.35">
      <c r="A25" s="6" t="s">
        <v>26</v>
      </c>
      <c r="B25" s="8" t="s">
        <v>13</v>
      </c>
      <c r="C25" s="16">
        <v>332234</v>
      </c>
      <c r="D25" s="16">
        <v>3060000</v>
      </c>
      <c r="E25" s="16">
        <f t="shared" si="0"/>
        <v>2727766</v>
      </c>
      <c r="F25" s="17">
        <f t="shared" si="1"/>
        <v>921.0375819452554</v>
      </c>
    </row>
    <row r="26" spans="1:6" x14ac:dyDescent="0.35">
      <c r="A26" s="6" t="s">
        <v>31</v>
      </c>
      <c r="B26" s="7" t="s">
        <v>63</v>
      </c>
      <c r="C26" s="16">
        <v>390896</v>
      </c>
      <c r="D26" s="16">
        <v>2880000</v>
      </c>
      <c r="E26" s="16">
        <f t="shared" si="0"/>
        <v>2489104</v>
      </c>
      <c r="F26" s="17">
        <f t="shared" si="1"/>
        <v>736.76885923621626</v>
      </c>
    </row>
    <row r="27" spans="1:6" x14ac:dyDescent="0.35">
      <c r="A27" s="6" t="s">
        <v>27</v>
      </c>
      <c r="B27" s="7" t="s">
        <v>164</v>
      </c>
      <c r="C27" s="16">
        <v>2504067</v>
      </c>
      <c r="D27" s="16">
        <v>0</v>
      </c>
      <c r="E27" s="16"/>
      <c r="F27" s="17">
        <f t="shared" si="1"/>
        <v>0</v>
      </c>
    </row>
    <row r="28" spans="1:6" x14ac:dyDescent="0.35">
      <c r="A28" s="6" t="s">
        <v>14</v>
      </c>
      <c r="B28" s="7" t="s">
        <v>87</v>
      </c>
      <c r="C28" s="7"/>
      <c r="D28" s="7"/>
      <c r="E28" s="16">
        <f t="shared" si="0"/>
        <v>0</v>
      </c>
      <c r="F28" s="17"/>
    </row>
    <row r="29" spans="1:6" x14ac:dyDescent="0.35">
      <c r="A29" s="5" t="s">
        <v>1</v>
      </c>
      <c r="B29" s="2" t="s">
        <v>65</v>
      </c>
      <c r="C29" s="2"/>
      <c r="D29" s="2"/>
      <c r="E29" s="16">
        <f t="shared" si="0"/>
        <v>0</v>
      </c>
      <c r="F29" s="17"/>
    </row>
    <row r="30" spans="1:6" x14ac:dyDescent="0.35">
      <c r="A30" s="5"/>
      <c r="B30" s="2" t="s">
        <v>88</v>
      </c>
      <c r="C30" s="2"/>
      <c r="D30" s="2"/>
      <c r="E30" s="16">
        <f t="shared" si="0"/>
        <v>0</v>
      </c>
      <c r="F30" s="17"/>
    </row>
    <row r="31" spans="1:6" x14ac:dyDescent="0.35">
      <c r="A31" s="6" t="s">
        <v>2</v>
      </c>
      <c r="B31" s="7" t="s">
        <v>89</v>
      </c>
      <c r="C31" s="16"/>
      <c r="D31" s="16"/>
      <c r="E31" s="16">
        <f t="shared" si="0"/>
        <v>0</v>
      </c>
      <c r="F31" s="17"/>
    </row>
    <row r="32" spans="1:6" x14ac:dyDescent="0.35">
      <c r="A32" s="6" t="s">
        <v>15</v>
      </c>
      <c r="B32" s="7" t="s">
        <v>90</v>
      </c>
      <c r="C32" s="7"/>
      <c r="D32" s="16"/>
      <c r="E32" s="16">
        <f t="shared" si="0"/>
        <v>0</v>
      </c>
      <c r="F32" s="17"/>
    </row>
    <row r="33" spans="2:6" ht="19.5" customHeight="1" x14ac:dyDescent="0.35">
      <c r="B33" s="268" t="s">
        <v>409</v>
      </c>
      <c r="C33" s="268"/>
      <c r="D33" s="268"/>
      <c r="E33" s="268"/>
      <c r="F33" s="268"/>
    </row>
  </sheetData>
  <mergeCells count="10">
    <mergeCell ref="B33:F33"/>
    <mergeCell ref="E1:F1"/>
    <mergeCell ref="A2:F2"/>
    <mergeCell ref="A3:F3"/>
    <mergeCell ref="D4:F4"/>
    <mergeCell ref="A5:A6"/>
    <mergeCell ref="B5:B6"/>
    <mergeCell ref="C5:C6"/>
    <mergeCell ref="D5:D6"/>
    <mergeCell ref="E5:F5"/>
  </mergeCells>
  <pageMargins left="0.25" right="0.25" top="0.59" bottom="0.75" header="0.280000000000000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workbookViewId="0">
      <selection activeCell="B6" sqref="B6"/>
    </sheetView>
  </sheetViews>
  <sheetFormatPr defaultRowHeight="14.5" x14ac:dyDescent="0.35"/>
  <cols>
    <col min="1" max="1" width="5.453125" customWidth="1"/>
    <col min="2" max="2" width="70.81640625" customWidth="1"/>
    <col min="3" max="3" width="19.26953125" customWidth="1"/>
    <col min="6" max="6" width="11.1796875" bestFit="1" customWidth="1"/>
  </cols>
  <sheetData>
    <row r="1" spans="1:6" x14ac:dyDescent="0.35">
      <c r="A1" s="1"/>
      <c r="B1" s="4"/>
      <c r="C1" s="4" t="s">
        <v>91</v>
      </c>
    </row>
    <row r="2" spans="1:6" ht="17.25" customHeight="1" x14ac:dyDescent="0.35">
      <c r="A2" s="269" t="s">
        <v>412</v>
      </c>
      <c r="B2" s="269"/>
      <c r="C2" s="269"/>
    </row>
    <row r="3" spans="1:6" x14ac:dyDescent="0.35">
      <c r="A3" s="270" t="s">
        <v>467</v>
      </c>
      <c r="B3" s="270"/>
      <c r="C3" s="270"/>
    </row>
    <row r="4" spans="1:6" x14ac:dyDescent="0.35">
      <c r="A4" s="1"/>
      <c r="B4" s="1"/>
      <c r="C4" s="4" t="s">
        <v>46</v>
      </c>
    </row>
    <row r="5" spans="1:6" x14ac:dyDescent="0.35">
      <c r="A5" s="6" t="s">
        <v>48</v>
      </c>
      <c r="B5" s="6" t="s">
        <v>3</v>
      </c>
      <c r="C5" s="6" t="s">
        <v>92</v>
      </c>
    </row>
    <row r="6" spans="1:6" x14ac:dyDescent="0.35">
      <c r="A6" s="6"/>
      <c r="B6" s="7" t="s">
        <v>166</v>
      </c>
      <c r="C6" s="16">
        <f>C8</f>
        <v>251617250</v>
      </c>
    </row>
    <row r="7" spans="1:6" x14ac:dyDescent="0.35">
      <c r="A7" s="6" t="s">
        <v>4</v>
      </c>
      <c r="B7" s="7" t="s">
        <v>93</v>
      </c>
      <c r="C7" s="7">
        <v>0</v>
      </c>
    </row>
    <row r="8" spans="1:6" x14ac:dyDescent="0.35">
      <c r="A8" s="6" t="s">
        <v>14</v>
      </c>
      <c r="B8" s="7" t="s">
        <v>167</v>
      </c>
      <c r="C8" s="16">
        <f>C10+C24+C34+C35</f>
        <v>251617250</v>
      </c>
    </row>
    <row r="9" spans="1:6" x14ac:dyDescent="0.35">
      <c r="A9" s="5"/>
      <c r="B9" s="2" t="s">
        <v>86</v>
      </c>
      <c r="C9" s="15"/>
      <c r="F9" s="19"/>
    </row>
    <row r="10" spans="1:6" x14ac:dyDescent="0.35">
      <c r="A10" s="6" t="s">
        <v>1</v>
      </c>
      <c r="B10" s="7" t="s">
        <v>36</v>
      </c>
      <c r="C10" s="16">
        <f>C11</f>
        <v>83244250</v>
      </c>
    </row>
    <row r="11" spans="1:6" x14ac:dyDescent="0.35">
      <c r="A11" s="5">
        <v>1</v>
      </c>
      <c r="B11" s="2" t="s">
        <v>94</v>
      </c>
      <c r="C11" s="15">
        <f>C20</f>
        <v>83244250</v>
      </c>
    </row>
    <row r="12" spans="1:6" x14ac:dyDescent="0.35">
      <c r="A12" s="5"/>
      <c r="B12" s="2" t="s">
        <v>86</v>
      </c>
      <c r="C12" s="2"/>
    </row>
    <row r="13" spans="1:6" x14ac:dyDescent="0.35">
      <c r="A13" s="5" t="s">
        <v>16</v>
      </c>
      <c r="B13" s="2" t="s">
        <v>80</v>
      </c>
      <c r="C13" s="2"/>
    </row>
    <row r="14" spans="1:6" x14ac:dyDescent="0.35">
      <c r="A14" s="5" t="s">
        <v>17</v>
      </c>
      <c r="B14" s="2" t="s">
        <v>95</v>
      </c>
      <c r="C14" s="2"/>
    </row>
    <row r="15" spans="1:6" x14ac:dyDescent="0.35">
      <c r="A15" s="5" t="s">
        <v>18</v>
      </c>
      <c r="B15" s="2" t="s">
        <v>96</v>
      </c>
      <c r="C15" s="2"/>
    </row>
    <row r="16" spans="1:6" x14ac:dyDescent="0.35">
      <c r="A16" s="5" t="s">
        <v>97</v>
      </c>
      <c r="B16" s="2" t="s">
        <v>98</v>
      </c>
      <c r="C16" s="2"/>
    </row>
    <row r="17" spans="1:6" x14ac:dyDescent="0.35">
      <c r="A17" s="5" t="s">
        <v>99</v>
      </c>
      <c r="B17" s="2" t="s">
        <v>100</v>
      </c>
      <c r="C17" s="2"/>
    </row>
    <row r="18" spans="1:6" x14ac:dyDescent="0.35">
      <c r="A18" s="5" t="s">
        <v>101</v>
      </c>
      <c r="B18" s="2" t="s">
        <v>102</v>
      </c>
      <c r="C18" s="2"/>
    </row>
    <row r="19" spans="1:6" x14ac:dyDescent="0.35">
      <c r="A19" s="5" t="s">
        <v>103</v>
      </c>
      <c r="B19" s="2" t="s">
        <v>104</v>
      </c>
      <c r="C19" s="2"/>
    </row>
    <row r="20" spans="1:6" x14ac:dyDescent="0.35">
      <c r="A20" s="5" t="s">
        <v>105</v>
      </c>
      <c r="B20" s="2" t="s">
        <v>106</v>
      </c>
      <c r="C20" s="15">
        <v>83244250</v>
      </c>
    </row>
    <row r="21" spans="1:6" x14ac:dyDescent="0.35">
      <c r="A21" s="5" t="s">
        <v>107</v>
      </c>
      <c r="B21" s="2" t="s">
        <v>108</v>
      </c>
      <c r="C21" s="2"/>
    </row>
    <row r="22" spans="1:6" x14ac:dyDescent="0.35">
      <c r="A22" s="5" t="s">
        <v>109</v>
      </c>
      <c r="B22" s="2" t="s">
        <v>110</v>
      </c>
      <c r="C22" s="2"/>
    </row>
    <row r="23" spans="1:6" x14ac:dyDescent="0.35">
      <c r="A23" s="5">
        <v>2</v>
      </c>
      <c r="B23" s="2" t="s">
        <v>85</v>
      </c>
      <c r="C23" s="2"/>
    </row>
    <row r="24" spans="1:6" x14ac:dyDescent="0.35">
      <c r="A24" s="6" t="s">
        <v>2</v>
      </c>
      <c r="B24" s="7" t="s">
        <v>35</v>
      </c>
      <c r="C24" s="16">
        <f>SUM(C26:C33)</f>
        <v>162433000</v>
      </c>
      <c r="F24" s="19"/>
    </row>
    <row r="25" spans="1:6" x14ac:dyDescent="0.35">
      <c r="A25" s="5"/>
      <c r="B25" s="2" t="s">
        <v>86</v>
      </c>
      <c r="C25" s="2"/>
      <c r="F25" s="19"/>
    </row>
    <row r="26" spans="1:6" x14ac:dyDescent="0.35">
      <c r="A26" s="5">
        <v>1</v>
      </c>
      <c r="B26" s="2" t="s">
        <v>80</v>
      </c>
      <c r="C26" s="15">
        <v>84780000</v>
      </c>
    </row>
    <row r="27" spans="1:6" x14ac:dyDescent="0.35">
      <c r="A27" s="5">
        <v>2</v>
      </c>
      <c r="B27" s="2" t="s">
        <v>96</v>
      </c>
      <c r="C27" s="15">
        <v>50000</v>
      </c>
    </row>
    <row r="28" spans="1:6" x14ac:dyDescent="0.35">
      <c r="A28" s="5">
        <v>3</v>
      </c>
      <c r="B28" s="2" t="s">
        <v>111</v>
      </c>
      <c r="C28" s="15">
        <v>440000</v>
      </c>
    </row>
    <row r="29" spans="1:6" x14ac:dyDescent="0.35">
      <c r="A29" s="5">
        <v>4</v>
      </c>
      <c r="B29" s="2" t="s">
        <v>104</v>
      </c>
      <c r="C29" s="15">
        <v>2460000</v>
      </c>
      <c r="F29" s="19"/>
    </row>
    <row r="30" spans="1:6" x14ac:dyDescent="0.35">
      <c r="A30" s="5">
        <v>5</v>
      </c>
      <c r="B30" s="2" t="s">
        <v>106</v>
      </c>
      <c r="C30" s="15">
        <v>12200000</v>
      </c>
      <c r="F30" s="19"/>
    </row>
    <row r="31" spans="1:6" x14ac:dyDescent="0.35">
      <c r="A31" s="5">
        <v>6</v>
      </c>
      <c r="B31" s="2" t="s">
        <v>112</v>
      </c>
      <c r="C31" s="15">
        <v>31685946</v>
      </c>
      <c r="F31" s="19"/>
    </row>
    <row r="32" spans="1:6" x14ac:dyDescent="0.35">
      <c r="A32" s="5">
        <v>7</v>
      </c>
      <c r="B32" s="2" t="s">
        <v>110</v>
      </c>
      <c r="C32" s="15">
        <v>27649494</v>
      </c>
    </row>
    <row r="33" spans="1:3" x14ac:dyDescent="0.35">
      <c r="A33" s="5">
        <v>8</v>
      </c>
      <c r="B33" s="2" t="s">
        <v>113</v>
      </c>
      <c r="C33" s="15">
        <v>3167560</v>
      </c>
    </row>
    <row r="34" spans="1:3" x14ac:dyDescent="0.35">
      <c r="A34" s="6" t="s">
        <v>25</v>
      </c>
      <c r="B34" s="7" t="s">
        <v>13</v>
      </c>
      <c r="C34" s="16">
        <v>3060000</v>
      </c>
    </row>
    <row r="35" spans="1:3" x14ac:dyDescent="0.35">
      <c r="A35" s="6" t="s">
        <v>26</v>
      </c>
      <c r="B35" s="7" t="s">
        <v>114</v>
      </c>
      <c r="C35" s="16">
        <v>2880000</v>
      </c>
    </row>
    <row r="36" spans="1:3" x14ac:dyDescent="0.35">
      <c r="A36" s="6" t="s">
        <v>31</v>
      </c>
      <c r="B36" s="7" t="s">
        <v>164</v>
      </c>
      <c r="C36" s="16"/>
    </row>
    <row r="37" spans="1:3" ht="28.5" customHeight="1" x14ac:dyDescent="0.35">
      <c r="A37" s="6" t="s">
        <v>15</v>
      </c>
      <c r="B37" s="12" t="s">
        <v>115</v>
      </c>
      <c r="C37" s="7">
        <v>0</v>
      </c>
    </row>
    <row r="38" spans="1:3" ht="21.75" customHeight="1" x14ac:dyDescent="0.35">
      <c r="A38" s="227" t="s">
        <v>116</v>
      </c>
      <c r="B38" s="227"/>
      <c r="C38" s="227"/>
    </row>
  </sheetData>
  <mergeCells count="3">
    <mergeCell ref="A2:C2"/>
    <mergeCell ref="A3:C3"/>
    <mergeCell ref="A38:C38"/>
  </mergeCells>
  <pageMargins left="0.35" right="0.3" top="0.56000000000000005" bottom="0.75" header="0.3" footer="0.3"/>
  <pageSetup paperSize="9" fitToHeight="0" orientation="portrait"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workbookViewId="0">
      <selection activeCell="C4" sqref="C4"/>
    </sheetView>
  </sheetViews>
  <sheetFormatPr defaultRowHeight="14.5" x14ac:dyDescent="0.35"/>
  <cols>
    <col min="1" max="1" width="5.54296875" customWidth="1"/>
    <col min="2" max="2" width="44.7265625" customWidth="1"/>
    <col min="3" max="4" width="12.54296875" customWidth="1"/>
    <col min="5" max="5" width="14" customWidth="1"/>
    <col min="6" max="6" width="10" customWidth="1"/>
    <col min="7" max="7" width="9.1796875" customWidth="1"/>
    <col min="8" max="8" width="9" customWidth="1"/>
    <col min="9" max="9" width="7.26953125" customWidth="1"/>
    <col min="10" max="10" width="8.54296875" customWidth="1"/>
    <col min="11" max="11" width="8.81640625" customWidth="1"/>
    <col min="14" max="14" width="11.1796875" bestFit="1" customWidth="1"/>
  </cols>
  <sheetData>
    <row r="1" spans="1:14" x14ac:dyDescent="0.35">
      <c r="A1" s="1"/>
      <c r="B1" s="1"/>
      <c r="C1" s="1"/>
      <c r="D1" s="1"/>
      <c r="E1" s="1"/>
      <c r="F1" s="1"/>
      <c r="G1" s="1"/>
      <c r="H1" s="1"/>
      <c r="I1" s="1" t="s">
        <v>117</v>
      </c>
      <c r="J1" s="1"/>
      <c r="K1" s="1"/>
    </row>
    <row r="2" spans="1:14" ht="18" customHeight="1" x14ac:dyDescent="0.35">
      <c r="A2" s="269" t="s">
        <v>162</v>
      </c>
      <c r="B2" s="269"/>
      <c r="C2" s="269"/>
      <c r="D2" s="269"/>
      <c r="E2" s="269"/>
      <c r="F2" s="269"/>
      <c r="G2" s="269"/>
      <c r="H2" s="269"/>
      <c r="I2" s="269"/>
      <c r="J2" s="269"/>
      <c r="K2" s="269"/>
    </row>
    <row r="3" spans="1:14" ht="17.25" customHeight="1" x14ac:dyDescent="0.35">
      <c r="A3" s="270" t="s">
        <v>467</v>
      </c>
      <c r="B3" s="270"/>
      <c r="C3" s="270"/>
      <c r="D3" s="270"/>
      <c r="E3" s="270"/>
      <c r="F3" s="270"/>
      <c r="G3" s="270"/>
      <c r="H3" s="270"/>
      <c r="I3" s="270"/>
      <c r="J3" s="270"/>
      <c r="K3" s="270"/>
    </row>
    <row r="4" spans="1:14" x14ac:dyDescent="0.35">
      <c r="A4" s="1"/>
      <c r="B4" s="1"/>
      <c r="C4" s="1"/>
      <c r="D4" s="1"/>
      <c r="E4" s="1"/>
      <c r="F4" s="1"/>
      <c r="G4" s="1"/>
      <c r="H4" s="283" t="s">
        <v>118</v>
      </c>
      <c r="I4" s="283"/>
      <c r="J4" s="283"/>
      <c r="K4" s="283"/>
    </row>
    <row r="5" spans="1:14" ht="30" customHeight="1" x14ac:dyDescent="0.35">
      <c r="A5" s="281" t="s">
        <v>48</v>
      </c>
      <c r="B5" s="281" t="s">
        <v>119</v>
      </c>
      <c r="C5" s="281" t="s">
        <v>120</v>
      </c>
      <c r="D5" s="281" t="s">
        <v>125</v>
      </c>
      <c r="E5" s="281" t="s">
        <v>126</v>
      </c>
      <c r="F5" s="281" t="s">
        <v>127</v>
      </c>
      <c r="G5" s="281" t="s">
        <v>425</v>
      </c>
      <c r="H5" s="284" t="s">
        <v>121</v>
      </c>
      <c r="I5" s="285"/>
      <c r="J5" s="286"/>
      <c r="K5" s="281" t="s">
        <v>129</v>
      </c>
    </row>
    <row r="6" spans="1:14" ht="64.5" customHeight="1" x14ac:dyDescent="0.35">
      <c r="A6" s="282"/>
      <c r="B6" s="282"/>
      <c r="C6" s="282"/>
      <c r="D6" s="282"/>
      <c r="E6" s="282"/>
      <c r="F6" s="282"/>
      <c r="G6" s="282"/>
      <c r="H6" s="26" t="s">
        <v>131</v>
      </c>
      <c r="I6" s="26" t="s">
        <v>130</v>
      </c>
      <c r="J6" s="26" t="s">
        <v>128</v>
      </c>
      <c r="K6" s="282"/>
    </row>
    <row r="7" spans="1:14" ht="16.5" customHeight="1" x14ac:dyDescent="0.35">
      <c r="A7" s="5" t="s">
        <v>4</v>
      </c>
      <c r="B7" s="5" t="s">
        <v>14</v>
      </c>
      <c r="C7" s="5">
        <v>1</v>
      </c>
      <c r="D7" s="5">
        <v>2</v>
      </c>
      <c r="E7" s="5">
        <v>3</v>
      </c>
      <c r="F7" s="5">
        <v>4</v>
      </c>
      <c r="G7" s="5">
        <v>5</v>
      </c>
      <c r="H7" s="5">
        <v>6</v>
      </c>
      <c r="I7" s="5">
        <v>7</v>
      </c>
      <c r="J7" s="5">
        <v>8</v>
      </c>
      <c r="K7" s="5">
        <v>9</v>
      </c>
    </row>
    <row r="8" spans="1:14" ht="16.5" customHeight="1" x14ac:dyDescent="0.35">
      <c r="A8" s="6"/>
      <c r="B8" s="22" t="s">
        <v>122</v>
      </c>
      <c r="C8" s="16">
        <f>D8+E8+F8</f>
        <v>251617250</v>
      </c>
      <c r="D8" s="16">
        <f>'Phụ biểu 34'!C10</f>
        <v>83244250</v>
      </c>
      <c r="E8" s="16">
        <f>E9+E10+E11+E12+E22+E23+E24+E25+E26+E27+E28</f>
        <v>165493000</v>
      </c>
      <c r="F8" s="16">
        <v>2880000</v>
      </c>
      <c r="G8" s="16">
        <v>0</v>
      </c>
      <c r="H8" s="7">
        <v>0</v>
      </c>
      <c r="I8" s="7">
        <v>0</v>
      </c>
      <c r="J8" s="7">
        <v>0</v>
      </c>
      <c r="K8" s="7">
        <v>0</v>
      </c>
      <c r="N8" s="19"/>
    </row>
    <row r="9" spans="1:14" ht="16.5" customHeight="1" x14ac:dyDescent="0.35">
      <c r="A9" s="5">
        <v>1</v>
      </c>
      <c r="B9" s="2" t="s">
        <v>175</v>
      </c>
      <c r="C9" s="15">
        <f t="shared" ref="C9:C28" si="0">D9+E9+F9+G9</f>
        <v>17609348</v>
      </c>
      <c r="D9" s="15"/>
      <c r="E9" s="15">
        <f>17679348-70000</f>
        <v>17609348</v>
      </c>
      <c r="F9" s="2"/>
      <c r="G9" s="2"/>
      <c r="H9" s="2"/>
      <c r="I9" s="2"/>
      <c r="J9" s="2"/>
      <c r="K9" s="2"/>
      <c r="N9" s="19"/>
    </row>
    <row r="10" spans="1:14" ht="16.5" customHeight="1" x14ac:dyDescent="0.35">
      <c r="A10" s="5">
        <v>2</v>
      </c>
      <c r="B10" s="2" t="s">
        <v>123</v>
      </c>
      <c r="C10" s="15">
        <f t="shared" si="0"/>
        <v>10004309</v>
      </c>
      <c r="D10" s="15"/>
      <c r="E10" s="15">
        <f>9934309+70000</f>
        <v>10004309</v>
      </c>
      <c r="F10" s="2"/>
      <c r="G10" s="2"/>
      <c r="H10" s="2"/>
      <c r="I10" s="2"/>
      <c r="J10" s="2"/>
      <c r="K10" s="2"/>
      <c r="N10" s="19"/>
    </row>
    <row r="11" spans="1:14" ht="16.5" customHeight="1" x14ac:dyDescent="0.35">
      <c r="A11" s="5">
        <v>3</v>
      </c>
      <c r="B11" s="2" t="s">
        <v>124</v>
      </c>
      <c r="C11" s="15">
        <f t="shared" si="0"/>
        <v>4072289</v>
      </c>
      <c r="D11" s="2"/>
      <c r="E11" s="15">
        <v>4072289</v>
      </c>
      <c r="F11" s="2"/>
      <c r="G11" s="2"/>
      <c r="H11" s="2"/>
      <c r="I11" s="2"/>
      <c r="J11" s="2"/>
      <c r="K11" s="2"/>
    </row>
    <row r="12" spans="1:14" ht="16.5" customHeight="1" x14ac:dyDescent="0.35">
      <c r="A12" s="5">
        <v>4</v>
      </c>
      <c r="B12" s="2" t="s">
        <v>176</v>
      </c>
      <c r="C12" s="15">
        <f>E12</f>
        <v>84780000</v>
      </c>
      <c r="D12" s="2"/>
      <c r="E12" s="15">
        <f>SUM(E13:E21)</f>
        <v>84780000</v>
      </c>
      <c r="F12" s="2"/>
      <c r="G12" s="2"/>
      <c r="H12" s="2"/>
      <c r="I12" s="2"/>
      <c r="J12" s="2"/>
      <c r="K12" s="2"/>
    </row>
    <row r="13" spans="1:14" ht="16.5" customHeight="1" x14ac:dyDescent="0.35">
      <c r="A13" s="5" t="s">
        <v>37</v>
      </c>
      <c r="B13" s="2" t="s">
        <v>168</v>
      </c>
      <c r="C13" s="15">
        <f t="shared" si="0"/>
        <v>5542824</v>
      </c>
      <c r="D13" s="2"/>
      <c r="E13" s="15">
        <v>5542824</v>
      </c>
      <c r="F13" s="2"/>
      <c r="G13" s="2"/>
      <c r="H13" s="2"/>
      <c r="I13" s="2"/>
      <c r="J13" s="2"/>
      <c r="K13" s="2"/>
    </row>
    <row r="14" spans="1:14" ht="16.5" customHeight="1" x14ac:dyDescent="0.35">
      <c r="A14" s="5" t="s">
        <v>37</v>
      </c>
      <c r="B14" s="2" t="s">
        <v>169</v>
      </c>
      <c r="C14" s="15">
        <f t="shared" si="0"/>
        <v>9053987</v>
      </c>
      <c r="D14" s="2"/>
      <c r="E14" s="15">
        <v>9053987</v>
      </c>
      <c r="F14" s="2"/>
      <c r="G14" s="2"/>
      <c r="H14" s="2"/>
      <c r="I14" s="2"/>
      <c r="J14" s="2"/>
      <c r="K14" s="2"/>
    </row>
    <row r="15" spans="1:14" ht="16.5" customHeight="1" x14ac:dyDescent="0.35">
      <c r="A15" s="5" t="s">
        <v>37</v>
      </c>
      <c r="B15" s="2" t="s">
        <v>170</v>
      </c>
      <c r="C15" s="15">
        <f t="shared" si="0"/>
        <v>7398947</v>
      </c>
      <c r="D15" s="2"/>
      <c r="E15" s="15">
        <v>7398947</v>
      </c>
      <c r="F15" s="2"/>
      <c r="G15" s="2"/>
      <c r="H15" s="2"/>
      <c r="I15" s="2"/>
      <c r="J15" s="2"/>
      <c r="K15" s="2"/>
    </row>
    <row r="16" spans="1:14" ht="16.5" customHeight="1" x14ac:dyDescent="0.35">
      <c r="A16" s="5" t="s">
        <v>37</v>
      </c>
      <c r="B16" s="2" t="s">
        <v>171</v>
      </c>
      <c r="C16" s="15">
        <f t="shared" si="0"/>
        <v>6978312</v>
      </c>
      <c r="D16" s="2"/>
      <c r="E16" s="15">
        <v>6978312</v>
      </c>
      <c r="F16" s="2"/>
      <c r="G16" s="2"/>
      <c r="H16" s="2"/>
      <c r="I16" s="2"/>
      <c r="J16" s="2"/>
      <c r="K16" s="2"/>
    </row>
    <row r="17" spans="1:11" ht="16.5" customHeight="1" x14ac:dyDescent="0.35">
      <c r="A17" s="5" t="s">
        <v>37</v>
      </c>
      <c r="B17" s="2" t="s">
        <v>172</v>
      </c>
      <c r="C17" s="15">
        <f t="shared" si="0"/>
        <v>10415846</v>
      </c>
      <c r="D17" s="2"/>
      <c r="E17" s="15">
        <v>10415846</v>
      </c>
      <c r="F17" s="2"/>
      <c r="G17" s="2"/>
      <c r="H17" s="2"/>
      <c r="I17" s="2"/>
      <c r="J17" s="2"/>
      <c r="K17" s="2"/>
    </row>
    <row r="18" spans="1:11" ht="16.5" customHeight="1" x14ac:dyDescent="0.35">
      <c r="A18" s="5" t="s">
        <v>37</v>
      </c>
      <c r="B18" s="2" t="s">
        <v>173</v>
      </c>
      <c r="C18" s="15">
        <f t="shared" si="0"/>
        <v>8418646</v>
      </c>
      <c r="D18" s="2"/>
      <c r="E18" s="15">
        <v>8418646</v>
      </c>
      <c r="F18" s="2"/>
      <c r="G18" s="2"/>
      <c r="H18" s="2"/>
      <c r="I18" s="2"/>
      <c r="J18" s="2"/>
      <c r="K18" s="2"/>
    </row>
    <row r="19" spans="1:11" ht="16.5" customHeight="1" x14ac:dyDescent="0.35">
      <c r="A19" s="5" t="s">
        <v>37</v>
      </c>
      <c r="B19" s="2" t="s">
        <v>174</v>
      </c>
      <c r="C19" s="15">
        <f t="shared" si="0"/>
        <v>11407639</v>
      </c>
      <c r="D19" s="2"/>
      <c r="E19" s="15">
        <v>11407639</v>
      </c>
      <c r="F19" s="2"/>
      <c r="G19" s="2"/>
      <c r="H19" s="2"/>
      <c r="I19" s="2"/>
      <c r="J19" s="2"/>
      <c r="K19" s="2"/>
    </row>
    <row r="20" spans="1:11" ht="123" customHeight="1" x14ac:dyDescent="0.35">
      <c r="A20" s="151" t="s">
        <v>37</v>
      </c>
      <c r="B20" s="3" t="s">
        <v>413</v>
      </c>
      <c r="C20" s="150">
        <f>E20</f>
        <v>5563799</v>
      </c>
      <c r="D20" s="2"/>
      <c r="E20" s="150">
        <v>5563799</v>
      </c>
      <c r="F20" s="2"/>
      <c r="G20" s="2"/>
      <c r="H20" s="2"/>
      <c r="I20" s="2"/>
      <c r="J20" s="2"/>
      <c r="K20" s="2"/>
    </row>
    <row r="21" spans="1:11" ht="24.75" customHeight="1" x14ac:dyDescent="0.35">
      <c r="A21" s="151" t="s">
        <v>37</v>
      </c>
      <c r="B21" s="153" t="s">
        <v>401</v>
      </c>
      <c r="C21" s="150">
        <f>E21</f>
        <v>20000000</v>
      </c>
      <c r="D21" s="2"/>
      <c r="E21" s="150">
        <v>20000000</v>
      </c>
      <c r="F21" s="2"/>
      <c r="G21" s="2"/>
      <c r="H21" s="2"/>
      <c r="I21" s="2"/>
      <c r="J21" s="2"/>
      <c r="K21" s="2"/>
    </row>
    <row r="22" spans="1:11" ht="16.5" customHeight="1" x14ac:dyDescent="0.35">
      <c r="A22" s="5">
        <v>5</v>
      </c>
      <c r="B22" s="2" t="s">
        <v>113</v>
      </c>
      <c r="C22" s="15">
        <f t="shared" si="0"/>
        <v>3167560</v>
      </c>
      <c r="D22" s="2"/>
      <c r="E22" s="15">
        <v>3167560</v>
      </c>
      <c r="F22" s="2"/>
      <c r="G22" s="2"/>
      <c r="H22" s="2"/>
      <c r="I22" s="2"/>
      <c r="J22" s="2"/>
      <c r="K22" s="2"/>
    </row>
    <row r="23" spans="1:11" ht="16.5" customHeight="1" x14ac:dyDescent="0.35">
      <c r="A23" s="5">
        <v>6</v>
      </c>
      <c r="B23" s="2" t="s">
        <v>96</v>
      </c>
      <c r="C23" s="15">
        <f t="shared" si="0"/>
        <v>50000</v>
      </c>
      <c r="D23" s="2"/>
      <c r="E23" s="15">
        <v>50000</v>
      </c>
      <c r="F23" s="2"/>
      <c r="G23" s="2"/>
      <c r="H23" s="2"/>
      <c r="I23" s="2"/>
      <c r="J23" s="2"/>
      <c r="K23" s="2"/>
    </row>
    <row r="24" spans="1:11" ht="16.5" customHeight="1" x14ac:dyDescent="0.35">
      <c r="A24" s="5">
        <v>7</v>
      </c>
      <c r="B24" s="2" t="s">
        <v>111</v>
      </c>
      <c r="C24" s="15">
        <f t="shared" si="0"/>
        <v>440000</v>
      </c>
      <c r="D24" s="2"/>
      <c r="E24" s="15">
        <v>440000</v>
      </c>
      <c r="F24" s="2"/>
      <c r="G24" s="2"/>
      <c r="H24" s="2"/>
      <c r="I24" s="2"/>
      <c r="J24" s="2"/>
      <c r="K24" s="2"/>
    </row>
    <row r="25" spans="1:11" ht="16.5" customHeight="1" x14ac:dyDescent="0.35">
      <c r="A25" s="5">
        <v>8</v>
      </c>
      <c r="B25" s="2" t="s">
        <v>110</v>
      </c>
      <c r="C25" s="15">
        <f t="shared" si="0"/>
        <v>27649494</v>
      </c>
      <c r="D25" s="2"/>
      <c r="E25" s="15">
        <v>27649494</v>
      </c>
      <c r="F25" s="2"/>
      <c r="G25" s="2"/>
      <c r="H25" s="2"/>
      <c r="I25" s="2"/>
      <c r="J25" s="2"/>
      <c r="K25" s="2"/>
    </row>
    <row r="26" spans="1:11" ht="16.5" customHeight="1" x14ac:dyDescent="0.35">
      <c r="A26" s="5">
        <v>9</v>
      </c>
      <c r="B26" s="2" t="s">
        <v>104</v>
      </c>
      <c r="C26" s="15">
        <f t="shared" si="0"/>
        <v>2460000</v>
      </c>
      <c r="D26" s="2"/>
      <c r="E26" s="15">
        <v>2460000</v>
      </c>
      <c r="F26" s="2"/>
      <c r="G26" s="2"/>
      <c r="H26" s="2"/>
      <c r="I26" s="2"/>
      <c r="J26" s="2"/>
      <c r="K26" s="2"/>
    </row>
    <row r="27" spans="1:11" ht="16.5" customHeight="1" x14ac:dyDescent="0.35">
      <c r="A27" s="5">
        <v>10</v>
      </c>
      <c r="B27" s="2" t="s">
        <v>106</v>
      </c>
      <c r="C27" s="15">
        <f t="shared" si="0"/>
        <v>12200000</v>
      </c>
      <c r="D27" s="2"/>
      <c r="E27" s="15">
        <v>12200000</v>
      </c>
      <c r="F27" s="2"/>
      <c r="G27" s="2"/>
      <c r="H27" s="2"/>
      <c r="I27" s="2"/>
      <c r="J27" s="2"/>
      <c r="K27" s="2"/>
    </row>
    <row r="28" spans="1:11" ht="16.5" customHeight="1" x14ac:dyDescent="0.35">
      <c r="A28" s="5">
        <v>11</v>
      </c>
      <c r="B28" s="2" t="s">
        <v>13</v>
      </c>
      <c r="C28" s="15">
        <f t="shared" si="0"/>
        <v>3060000</v>
      </c>
      <c r="D28" s="2"/>
      <c r="E28" s="15">
        <v>3060000</v>
      </c>
      <c r="F28" s="2"/>
      <c r="G28" s="2"/>
      <c r="H28" s="2"/>
      <c r="I28" s="2"/>
      <c r="J28" s="2"/>
      <c r="K28" s="2"/>
    </row>
    <row r="29" spans="1:11" ht="21" customHeight="1" x14ac:dyDescent="0.35">
      <c r="A29" s="1"/>
      <c r="B29" s="1"/>
      <c r="C29" s="1"/>
      <c r="D29" s="1"/>
      <c r="E29" s="268" t="s">
        <v>161</v>
      </c>
      <c r="F29" s="268"/>
      <c r="G29" s="268"/>
      <c r="H29" s="268"/>
      <c r="I29" s="268"/>
      <c r="J29" s="268"/>
      <c r="K29" s="268"/>
    </row>
  </sheetData>
  <mergeCells count="13">
    <mergeCell ref="G5:G6"/>
    <mergeCell ref="H4:K4"/>
    <mergeCell ref="A2:K2"/>
    <mergeCell ref="A3:K3"/>
    <mergeCell ref="E29:K29"/>
    <mergeCell ref="K5:K6"/>
    <mergeCell ref="H5:J5"/>
    <mergeCell ref="D5:D6"/>
    <mergeCell ref="C5:C6"/>
    <mergeCell ref="B5:B6"/>
    <mergeCell ref="A5:A6"/>
    <mergeCell ref="E5:E6"/>
    <mergeCell ref="F5:F6"/>
  </mergeCells>
  <pageMargins left="0.28000000000000003" right="0.17" top="0.48" bottom="0.33" header="0.3" footer="0.3"/>
  <pageSetup paperSize="9"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Phụ biểu 01</vt:lpstr>
      <vt:lpstr>Phụ phiểu 02</vt:lpstr>
      <vt:lpstr>Đầu tư PT 03 chuẩn</vt:lpstr>
      <vt:lpstr>Sự nghiệp GD 04</vt:lpstr>
      <vt:lpstr>Phụ biểu cân đối 15</vt:lpstr>
      <vt:lpstr>Phụ biểu 16</vt:lpstr>
      <vt:lpstr>Phụ biểu 17</vt:lpstr>
      <vt:lpstr>Phụ biểu 34</vt:lpstr>
      <vt:lpstr>phụ biểu 35</vt:lpstr>
      <vt:lpstr>Phụ biểu 36</vt:lpstr>
      <vt:lpstr>phụ biểu số 37</vt:lpstr>
      <vt:lpstr>Sheet1</vt:lpstr>
      <vt:lpstr>'Đầu tư PT 03 chuẩn'!Print_Area</vt:lpstr>
      <vt:lpstr>'Phụ biểu 01'!Print_Area</vt:lpstr>
      <vt:lpstr>'Phụ phiểu 02'!Print_Area</vt:lpstr>
      <vt:lpstr>'phụ biểu số 37'!Print_Titles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Diep Thi Thuy</cp:lastModifiedBy>
  <cp:lastPrinted>2026-01-09T04:26:42Z</cp:lastPrinted>
  <dcterms:created xsi:type="dcterms:W3CDTF">2021-12-07T01:12:59Z</dcterms:created>
  <dcterms:modified xsi:type="dcterms:W3CDTF">2026-01-09T09:45:11Z</dcterms:modified>
</cp:coreProperties>
</file>